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Workbook________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Ավագանի 2025 թ\"/>
    </mc:Choice>
  </mc:AlternateContent>
  <xr:revisionPtr revIDLastSave="0" documentId="8_{36823A4E-87E5-4CC3-B9A8-F2E89F31A4BA}" xr6:coauthVersionLast="45" xr6:coauthVersionMax="45" xr10:uidLastSave="{00000000-0000-0000-0000-000000000000}"/>
  <bookViews>
    <workbookView xWindow="-120" yWindow="-120" windowWidth="29040" windowHeight="15720" activeTab="5"/>
  </bookViews>
  <sheets>
    <sheet name="Գ.հ.ԱՊԱՌՔ" sheetId="11" r:id="rId1"/>
    <sheet name="EKAMUT - 2022" sheetId="8" state="hidden" r:id="rId2"/>
    <sheet name="Ekamut-2022" sheetId="13" state="hidden" r:id="rId3"/>
    <sheet name="Եկամուտ-2025" sheetId="15" r:id="rId4"/>
    <sheet name="Ծախս-գործ-2025" sheetId="16" r:id="rId5"/>
    <sheet name="Ծախս-տնտ-2025" sheetId="17" r:id="rId6"/>
    <sheet name="CAXS.GORCAR- 2022" sheetId="10" state="hidden" r:id="rId7"/>
    <sheet name="CAXS.TNTESAG- 2022" sheetId="9" state="hidden" r:id="rId8"/>
  </sheets>
  <externalReferences>
    <externalReference r:id="rId9"/>
    <externalReference r:id="rId10"/>
  </externalReferences>
  <definedNames>
    <definedName name="_xlnm.Print_Area" localSheetId="6">'CAXS.GORCAR- 2022'!$A$2:$F$36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1" l="1"/>
  <c r="E35" i="11"/>
  <c r="D36" i="11"/>
  <c r="D35" i="11" s="1"/>
  <c r="C35" i="11"/>
  <c r="D31" i="11"/>
  <c r="D32" i="11"/>
  <c r="D34" i="11"/>
  <c r="D33" i="11"/>
  <c r="D30" i="11"/>
  <c r="D29" i="11"/>
  <c r="D28" i="11"/>
  <c r="D37" i="11"/>
  <c r="D27" i="11"/>
  <c r="D26" i="11" s="1"/>
  <c r="D18" i="11"/>
  <c r="D17" i="11"/>
  <c r="D9" i="11"/>
  <c r="D8" i="11" s="1"/>
  <c r="E119" i="15"/>
  <c r="E53" i="15"/>
  <c r="AD26" i="16"/>
  <c r="E33" i="17"/>
  <c r="E37" i="17"/>
  <c r="E51" i="17"/>
  <c r="E47" i="17"/>
  <c r="E45" i="17"/>
  <c r="E44" i="17"/>
  <c r="E42" i="17"/>
  <c r="E39" i="17"/>
  <c r="E38" i="17"/>
  <c r="E36" i="17"/>
  <c r="E35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AC22" i="16"/>
  <c r="AC21" i="16"/>
  <c r="AC45" i="16"/>
  <c r="AC44" i="16"/>
  <c r="AC42" i="16"/>
  <c r="AC41" i="16"/>
  <c r="AC38" i="16"/>
  <c r="AC39" i="16"/>
  <c r="AC36" i="16"/>
  <c r="AD25" i="16"/>
  <c r="AC10" i="16"/>
  <c r="AC18" i="16"/>
  <c r="AC16" i="16"/>
  <c r="AC15" i="16"/>
  <c r="AC14" i="16"/>
  <c r="AC12" i="16"/>
  <c r="AC9" i="16"/>
  <c r="AC8" i="16"/>
  <c r="AC40" i="16" s="1"/>
  <c r="AC47" i="16" s="1"/>
  <c r="AC7" i="16"/>
  <c r="E152" i="15"/>
  <c r="E56" i="15"/>
  <c r="AB40" i="16"/>
  <c r="AB47" i="16"/>
  <c r="E130" i="15"/>
  <c r="E129" i="15"/>
  <c r="E55" i="15" s="1"/>
  <c r="D129" i="15"/>
  <c r="C129" i="15"/>
  <c r="D28" i="15"/>
  <c r="D119" i="15"/>
  <c r="D53" i="15"/>
  <c r="C53" i="15"/>
  <c r="E89" i="15"/>
  <c r="D89" i="15"/>
  <c r="C89" i="15"/>
  <c r="C109" i="15"/>
  <c r="D109" i="15"/>
  <c r="E109" i="15"/>
  <c r="C99" i="15"/>
  <c r="D99" i="15"/>
  <c r="E99" i="15"/>
  <c r="C79" i="15"/>
  <c r="D79" i="15"/>
  <c r="E79" i="15"/>
  <c r="C119" i="15"/>
  <c r="C69" i="15"/>
  <c r="C56" i="15"/>
  <c r="E39" i="15"/>
  <c r="C48" i="15"/>
  <c r="C46" i="15"/>
  <c r="C45" i="15"/>
  <c r="C44" i="15"/>
  <c r="C43" i="15"/>
  <c r="C42" i="15"/>
  <c r="C41" i="15"/>
  <c r="C40" i="15"/>
  <c r="C39" i="15" s="1"/>
  <c r="D39" i="15"/>
  <c r="E28" i="15"/>
  <c r="C36" i="15"/>
  <c r="C35" i="15"/>
  <c r="C34" i="15"/>
  <c r="C33" i="15"/>
  <c r="C32" i="15"/>
  <c r="C28" i="15"/>
  <c r="C31" i="15"/>
  <c r="C29" i="15"/>
  <c r="C17" i="15"/>
  <c r="E17" i="15"/>
  <c r="E148" i="15" s="1"/>
  <c r="D17" i="15"/>
  <c r="C6" i="15"/>
  <c r="E6" i="15"/>
  <c r="D6" i="15"/>
  <c r="E51" i="15"/>
  <c r="F152" i="15"/>
  <c r="F153" i="15"/>
  <c r="D57" i="15"/>
  <c r="D56" i="15" s="1"/>
  <c r="D52" i="15" s="1"/>
  <c r="D58" i="15"/>
  <c r="D59" i="15"/>
  <c r="D60" i="15"/>
  <c r="D61" i="15"/>
  <c r="D62" i="15"/>
  <c r="D63" i="15"/>
  <c r="D64" i="15"/>
  <c r="E49" i="15"/>
  <c r="E38" i="15"/>
  <c r="E27" i="15"/>
  <c r="E16" i="15"/>
  <c r="AA40" i="16"/>
  <c r="AA47" i="16"/>
  <c r="D69" i="15"/>
  <c r="E69" i="15"/>
  <c r="E52" i="15" s="1"/>
  <c r="D43" i="17"/>
  <c r="D53" i="17"/>
  <c r="C43" i="17"/>
  <c r="C53" i="17" s="1"/>
  <c r="C40" i="16"/>
  <c r="C47" i="16"/>
  <c r="Z39" i="16"/>
  <c r="Z45" i="16"/>
  <c r="Y39" i="16"/>
  <c r="Y45" i="16"/>
  <c r="X39" i="16"/>
  <c r="X45" i="16"/>
  <c r="W39" i="16"/>
  <c r="W45" i="16"/>
  <c r="V39" i="16"/>
  <c r="V45" i="16"/>
  <c r="U39" i="16"/>
  <c r="U45" i="16"/>
  <c r="T39" i="16"/>
  <c r="T45" i="16"/>
  <c r="S39" i="16"/>
  <c r="S45" i="16"/>
  <c r="R39" i="16"/>
  <c r="R45" i="16"/>
  <c r="Q39" i="16"/>
  <c r="Q45" i="16"/>
  <c r="P39" i="16"/>
  <c r="P45" i="16"/>
  <c r="O39" i="16"/>
  <c r="O45" i="16"/>
  <c r="N39" i="16"/>
  <c r="N45" i="16"/>
  <c r="M39" i="16"/>
  <c r="M45" i="16"/>
  <c r="L39" i="16"/>
  <c r="L45" i="16"/>
  <c r="K39" i="16"/>
  <c r="K45" i="16"/>
  <c r="J39" i="16"/>
  <c r="J45" i="16"/>
  <c r="I39" i="16"/>
  <c r="I45" i="16"/>
  <c r="H39" i="16"/>
  <c r="H45" i="16"/>
  <c r="G39" i="16"/>
  <c r="G45" i="16"/>
  <c r="F39" i="16"/>
  <c r="F45" i="16"/>
  <c r="E39" i="16"/>
  <c r="E45" i="16"/>
  <c r="D39" i="16"/>
  <c r="D45" i="16"/>
  <c r="E13" i="13"/>
  <c r="E14" i="13"/>
  <c r="E20" i="13"/>
  <c r="AC20" i="13" s="1"/>
  <c r="E22" i="13"/>
  <c r="AC22" i="13" s="1"/>
  <c r="H11" i="8"/>
  <c r="AC11" i="8"/>
  <c r="H15" i="8"/>
  <c r="AA30" i="10"/>
  <c r="AA31" i="10"/>
  <c r="AA32" i="10"/>
  <c r="AA33" i="10"/>
  <c r="AB5" i="10"/>
  <c r="AB6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A5" i="10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C30" i="10"/>
  <c r="AC31" i="10"/>
  <c r="AC32" i="10"/>
  <c r="AC33" i="10"/>
  <c r="AC29" i="10"/>
  <c r="AC5" i="10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V28" i="10"/>
  <c r="V34" i="10" s="1"/>
  <c r="U28" i="10"/>
  <c r="U34" i="10" s="1"/>
  <c r="T42" i="9"/>
  <c r="T52" i="9"/>
  <c r="Q42" i="9"/>
  <c r="Q52" i="9" s="1"/>
  <c r="R42" i="9"/>
  <c r="R52" i="9" s="1"/>
  <c r="U42" i="9"/>
  <c r="U52" i="9"/>
  <c r="S42" i="9"/>
  <c r="S52" i="9" s="1"/>
  <c r="AA4" i="10"/>
  <c r="AA28" i="10"/>
  <c r="AA34" i="10" s="1"/>
  <c r="S28" i="10"/>
  <c r="R28" i="10"/>
  <c r="AD44" i="9"/>
  <c r="AD45" i="9"/>
  <c r="AD46" i="9"/>
  <c r="AD47" i="9"/>
  <c r="AD48" i="9"/>
  <c r="AD49" i="9"/>
  <c r="AD50" i="9"/>
  <c r="AD51" i="9"/>
  <c r="AD43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C44" i="9"/>
  <c r="AC45" i="9"/>
  <c r="AC46" i="9"/>
  <c r="AC47" i="9"/>
  <c r="AC48" i="9"/>
  <c r="AC49" i="9"/>
  <c r="AC50" i="9"/>
  <c r="AC51" i="9"/>
  <c r="AB44" i="9"/>
  <c r="AB45" i="9"/>
  <c r="AB46" i="9"/>
  <c r="AB47" i="9"/>
  <c r="AB48" i="9"/>
  <c r="AB49" i="9"/>
  <c r="AB50" i="9"/>
  <c r="AB51" i="9"/>
  <c r="AB43" i="9"/>
  <c r="AC8" i="9"/>
  <c r="AC9" i="9"/>
  <c r="AC52" i="9" s="1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C7" i="9"/>
  <c r="AC42" i="9"/>
  <c r="AD7" i="9"/>
  <c r="AB7" i="9"/>
  <c r="Z43" i="9"/>
  <c r="AC43" i="9" s="1"/>
  <c r="Y28" i="10"/>
  <c r="Y34" i="10"/>
  <c r="X28" i="10"/>
  <c r="X34" i="10" s="1"/>
  <c r="Y42" i="9"/>
  <c r="Y52" i="9"/>
  <c r="Z42" i="9"/>
  <c r="Z28" i="10"/>
  <c r="Z34" i="10"/>
  <c r="P28" i="10"/>
  <c r="P34" i="10" s="1"/>
  <c r="R34" i="10"/>
  <c r="AA42" i="9"/>
  <c r="AA52" i="9"/>
  <c r="X42" i="9"/>
  <c r="X52" i="9"/>
  <c r="AA29" i="10"/>
  <c r="M42" i="9"/>
  <c r="M52" i="9" s="1"/>
  <c r="Q28" i="10"/>
  <c r="Q34" i="10"/>
  <c r="S34" i="10"/>
  <c r="T28" i="10"/>
  <c r="T34" i="10"/>
  <c r="N28" i="10"/>
  <c r="N34" i="10"/>
  <c r="L28" i="10"/>
  <c r="L34" i="10"/>
  <c r="V42" i="9"/>
  <c r="V52" i="9"/>
  <c r="W42" i="9"/>
  <c r="W52" i="9"/>
  <c r="W53" i="9"/>
  <c r="P42" i="9"/>
  <c r="P52" i="9" s="1"/>
  <c r="P53" i="9" s="1"/>
  <c r="K53" i="9"/>
  <c r="K42" i="9"/>
  <c r="K52" i="9" s="1"/>
  <c r="J42" i="9"/>
  <c r="J52" i="9"/>
  <c r="H42" i="9"/>
  <c r="H52" i="9" s="1"/>
  <c r="H53" i="9" s="1"/>
  <c r="D42" i="9"/>
  <c r="D52" i="9"/>
  <c r="F42" i="9"/>
  <c r="F52" i="9"/>
  <c r="G42" i="9"/>
  <c r="G52" i="9"/>
  <c r="I42" i="9"/>
  <c r="I52" i="9"/>
  <c r="E42" i="9"/>
  <c r="E52" i="9"/>
  <c r="AB22" i="13"/>
  <c r="AA22" i="13"/>
  <c r="AC21" i="13"/>
  <c r="AB21" i="13"/>
  <c r="AA21" i="13"/>
  <c r="AB20" i="13"/>
  <c r="AA20" i="13"/>
  <c r="Y19" i="13"/>
  <c r="Y23" i="13"/>
  <c r="Y24" i="13"/>
  <c r="V19" i="13"/>
  <c r="V23" i="13" s="1"/>
  <c r="V24" i="13" s="1"/>
  <c r="U19" i="13"/>
  <c r="U23" i="13"/>
  <c r="U24" i="13" s="1"/>
  <c r="S19" i="13"/>
  <c r="S23" i="13"/>
  <c r="S24" i="13"/>
  <c r="L19" i="13"/>
  <c r="L23" i="13"/>
  <c r="L24" i="13"/>
  <c r="J19" i="13"/>
  <c r="J23" i="13" s="1"/>
  <c r="J24" i="13" s="1"/>
  <c r="I19" i="13"/>
  <c r="I23" i="13" s="1"/>
  <c r="D19" i="13"/>
  <c r="D23" i="13"/>
  <c r="C19" i="13"/>
  <c r="C23" i="13" s="1"/>
  <c r="C24" i="13" s="1"/>
  <c r="AC18" i="13"/>
  <c r="AB18" i="13"/>
  <c r="AA18" i="13"/>
  <c r="AC17" i="13"/>
  <c r="AB17" i="13"/>
  <c r="AA17" i="13"/>
  <c r="AB16" i="13"/>
  <c r="AA16" i="13"/>
  <c r="Z16" i="13"/>
  <c r="Z19" i="13"/>
  <c r="Z23" i="13"/>
  <c r="Z24" i="13" s="1"/>
  <c r="W16" i="13"/>
  <c r="W19" i="13"/>
  <c r="W23" i="13"/>
  <c r="W24" i="13" s="1"/>
  <c r="T16" i="13"/>
  <c r="T19" i="13"/>
  <c r="T23" i="13" s="1"/>
  <c r="T24" i="13" s="1"/>
  <c r="Q16" i="13"/>
  <c r="Q19" i="13"/>
  <c r="Q23" i="13"/>
  <c r="Q24" i="13" s="1"/>
  <c r="N16" i="13"/>
  <c r="K16" i="13"/>
  <c r="K19" i="13"/>
  <c r="K23" i="13"/>
  <c r="K24" i="13" s="1"/>
  <c r="H16" i="13"/>
  <c r="H19" i="13"/>
  <c r="H23" i="13" s="1"/>
  <c r="H24" i="13" s="1"/>
  <c r="E16" i="13"/>
  <c r="AC16" i="13" s="1"/>
  <c r="E19" i="13"/>
  <c r="E23" i="13"/>
  <c r="E24" i="13" s="1"/>
  <c r="X15" i="13"/>
  <c r="P15" i="13"/>
  <c r="AB15" i="13"/>
  <c r="N15" i="13"/>
  <c r="N19" i="13" s="1"/>
  <c r="N23" i="13" s="1"/>
  <c r="N24" i="13" s="1"/>
  <c r="F15" i="13"/>
  <c r="AA15" i="13"/>
  <c r="AC14" i="13"/>
  <c r="AA14" i="13"/>
  <c r="P14" i="13"/>
  <c r="AB14" i="13"/>
  <c r="AC13" i="13"/>
  <c r="R13" i="13"/>
  <c r="R19" i="13" s="1"/>
  <c r="R23" i="13" s="1"/>
  <c r="R24" i="13" s="1"/>
  <c r="O13" i="13"/>
  <c r="M13" i="13"/>
  <c r="AB13" i="13"/>
  <c r="AC12" i="13"/>
  <c r="AA12" i="13"/>
  <c r="P12" i="13"/>
  <c r="AB12" i="13"/>
  <c r="AC11" i="13"/>
  <c r="AB11" i="13"/>
  <c r="AA11" i="13"/>
  <c r="AC10" i="13"/>
  <c r="AB10" i="13"/>
  <c r="AA10" i="13"/>
  <c r="AC9" i="13"/>
  <c r="X9" i="13"/>
  <c r="X19" i="13" s="1"/>
  <c r="X23" i="13" s="1"/>
  <c r="X24" i="13" s="1"/>
  <c r="M9" i="13"/>
  <c r="G9" i="13"/>
  <c r="AB9" i="13" s="1"/>
  <c r="F9" i="13"/>
  <c r="AC8" i="13"/>
  <c r="AB8" i="13"/>
  <c r="AA8" i="13"/>
  <c r="AA6" i="8"/>
  <c r="R11" i="8"/>
  <c r="AA11" i="8" s="1"/>
  <c r="R17" i="8"/>
  <c r="R21" i="8" s="1"/>
  <c r="R22" i="8" s="1"/>
  <c r="AC19" i="8"/>
  <c r="AC20" i="8"/>
  <c r="AB19" i="8"/>
  <c r="AB20" i="8"/>
  <c r="AA19" i="8"/>
  <c r="AA20" i="8"/>
  <c r="AB18" i="8"/>
  <c r="AB6" i="8"/>
  <c r="AC6" i="8"/>
  <c r="AC7" i="8"/>
  <c r="AB8" i="8"/>
  <c r="AC8" i="8"/>
  <c r="AB9" i="8"/>
  <c r="AB17" i="8" s="1"/>
  <c r="AC9" i="8"/>
  <c r="AC10" i="8"/>
  <c r="AC12" i="8"/>
  <c r="AB14" i="8"/>
  <c r="AB15" i="8"/>
  <c r="AB16" i="8"/>
  <c r="AC16" i="8"/>
  <c r="AA8" i="8"/>
  <c r="AA9" i="8"/>
  <c r="AA10" i="8"/>
  <c r="AA12" i="8"/>
  <c r="AA14" i="8"/>
  <c r="AA15" i="8"/>
  <c r="AA16" i="8"/>
  <c r="X13" i="8"/>
  <c r="AA13" i="8" s="1"/>
  <c r="X7" i="8"/>
  <c r="X17" i="8" s="1"/>
  <c r="X21" i="8" s="1"/>
  <c r="X22" i="8"/>
  <c r="P13" i="8"/>
  <c r="AB13" i="8" s="1"/>
  <c r="P10" i="8"/>
  <c r="P12" i="8"/>
  <c r="AB12" i="8"/>
  <c r="O11" i="8"/>
  <c r="L17" i="8"/>
  <c r="L21" i="8"/>
  <c r="L22" i="8" s="1"/>
  <c r="M11" i="8"/>
  <c r="AB11" i="8"/>
  <c r="M7" i="8"/>
  <c r="M17" i="8" s="1"/>
  <c r="M21" i="8" s="1"/>
  <c r="M22" i="8"/>
  <c r="J17" i="8"/>
  <c r="J21" i="8" s="1"/>
  <c r="J22" i="8" s="1"/>
  <c r="C17" i="8"/>
  <c r="C21" i="8"/>
  <c r="I17" i="8"/>
  <c r="F13" i="8"/>
  <c r="G7" i="8"/>
  <c r="AB7" i="8" s="1"/>
  <c r="F7" i="8"/>
  <c r="AA7" i="8"/>
  <c r="E18" i="8"/>
  <c r="AC18" i="8" s="1"/>
  <c r="E14" i="8"/>
  <c r="AC14" i="8"/>
  <c r="E17" i="8"/>
  <c r="E21" i="8"/>
  <c r="N13" i="8"/>
  <c r="N14" i="8"/>
  <c r="K14" i="8"/>
  <c r="K17" i="8"/>
  <c r="K21" i="8"/>
  <c r="K22" i="8"/>
  <c r="H14" i="8"/>
  <c r="Z14" i="8"/>
  <c r="Z17" i="8"/>
  <c r="Z21" i="8"/>
  <c r="Z22" i="8" s="1"/>
  <c r="W14" i="8"/>
  <c r="W17" i="8"/>
  <c r="W21" i="8"/>
  <c r="W22" i="8" s="1"/>
  <c r="T14" i="8"/>
  <c r="T17" i="8"/>
  <c r="T21" i="8"/>
  <c r="T22" i="8" s="1"/>
  <c r="Q14" i="8"/>
  <c r="Q17" i="8"/>
  <c r="Q21" i="8"/>
  <c r="Q22" i="8" s="1"/>
  <c r="U17" i="8"/>
  <c r="U21" i="8"/>
  <c r="U22" i="8"/>
  <c r="V17" i="8"/>
  <c r="V21" i="8" s="1"/>
  <c r="V22" i="8" s="1"/>
  <c r="Y17" i="8"/>
  <c r="Y21" i="8"/>
  <c r="Y22" i="8" s="1"/>
  <c r="D17" i="8"/>
  <c r="D21" i="8"/>
  <c r="I21" i="8"/>
  <c r="I22" i="8" s="1"/>
  <c r="D28" i="10"/>
  <c r="D34" i="10"/>
  <c r="E28" i="10"/>
  <c r="F28" i="10"/>
  <c r="F34" i="10"/>
  <c r="G28" i="10"/>
  <c r="G34" i="10" s="1"/>
  <c r="H28" i="10"/>
  <c r="H34" i="10"/>
  <c r="I28" i="10"/>
  <c r="I34" i="10" s="1"/>
  <c r="J28" i="10"/>
  <c r="J34" i="10"/>
  <c r="K28" i="10"/>
  <c r="K34" i="10" s="1"/>
  <c r="M28" i="10"/>
  <c r="M34" i="10"/>
  <c r="O28" i="10"/>
  <c r="O34" i="10" s="1"/>
  <c r="W28" i="10"/>
  <c r="W34" i="10"/>
  <c r="C28" i="10"/>
  <c r="C34" i="10"/>
  <c r="L42" i="9"/>
  <c r="L52" i="9"/>
  <c r="N42" i="9"/>
  <c r="N52" i="9"/>
  <c r="O42" i="9"/>
  <c r="O52" i="9"/>
  <c r="E34" i="10"/>
  <c r="AB29" i="10"/>
  <c r="AB30" i="10"/>
  <c r="AB31" i="10"/>
  <c r="AB32" i="10"/>
  <c r="AB33" i="10"/>
  <c r="AB4" i="10"/>
  <c r="AC4" i="10"/>
  <c r="O17" i="8"/>
  <c r="O21" i="8"/>
  <c r="O22" i="8"/>
  <c r="S17" i="8"/>
  <c r="S21" i="8"/>
  <c r="S22" i="8"/>
  <c r="O19" i="13"/>
  <c r="O23" i="13" s="1"/>
  <c r="O24" i="13" s="1"/>
  <c r="AA18" i="8"/>
  <c r="C22" i="8"/>
  <c r="F19" i="13"/>
  <c r="F23" i="13" s="1"/>
  <c r="F24" i="13" s="1"/>
  <c r="P19" i="13"/>
  <c r="P23" i="13" s="1"/>
  <c r="P24" i="13"/>
  <c r="D24" i="13"/>
  <c r="M19" i="13"/>
  <c r="M23" i="13" s="1"/>
  <c r="M24" i="13"/>
  <c r="G19" i="13"/>
  <c r="G23" i="13"/>
  <c r="G24" i="13" s="1"/>
  <c r="D22" i="8"/>
  <c r="F17" i="8"/>
  <c r="F21" i="8"/>
  <c r="F22" i="8" s="1"/>
  <c r="AA21" i="8"/>
  <c r="AA22" i="8" s="1"/>
  <c r="AB10" i="8"/>
  <c r="P17" i="8"/>
  <c r="P21" i="8" s="1"/>
  <c r="P22" i="8"/>
  <c r="E22" i="8"/>
  <c r="I24" i="13" l="1"/>
  <c r="AA23" i="13"/>
  <c r="AA24" i="13" s="1"/>
  <c r="F148" i="15"/>
  <c r="E153" i="15"/>
  <c r="E154" i="15"/>
  <c r="AD52" i="9"/>
  <c r="D148" i="15"/>
  <c r="AC34" i="10"/>
  <c r="AC23" i="13"/>
  <c r="AC24" i="13" s="1"/>
  <c r="AA9" i="13"/>
  <c r="AC13" i="8"/>
  <c r="AC17" i="8" s="1"/>
  <c r="AD17" i="8" s="1"/>
  <c r="N17" i="8"/>
  <c r="N21" i="8" s="1"/>
  <c r="N22" i="8" s="1"/>
  <c r="AB23" i="13"/>
  <c r="AB24" i="13" s="1"/>
  <c r="AC15" i="8"/>
  <c r="H17" i="8"/>
  <c r="H21" i="8" s="1"/>
  <c r="H22" i="8" s="1"/>
  <c r="AA17" i="8"/>
  <c r="AB42" i="9"/>
  <c r="AB52" i="9" s="1"/>
  <c r="AC15" i="13"/>
  <c r="AC19" i="13" s="1"/>
  <c r="AB28" i="10"/>
  <c r="AB34" i="10" s="1"/>
  <c r="AB19" i="13"/>
  <c r="AA13" i="13"/>
  <c r="Z52" i="9"/>
  <c r="C148" i="15"/>
  <c r="C153" i="15" s="1"/>
  <c r="C154" i="15" s="1"/>
  <c r="E43" i="17"/>
  <c r="E53" i="17" s="1"/>
  <c r="G17" i="8"/>
  <c r="G21" i="8" s="1"/>
  <c r="AC28" i="10"/>
  <c r="AD42" i="9"/>
  <c r="AC21" i="8" l="1"/>
  <c r="AC22" i="8" s="1"/>
  <c r="G22" i="8"/>
  <c r="AB21" i="8"/>
  <c r="AB22" i="8" s="1"/>
  <c r="H148" i="15"/>
  <c r="AA19" i="13"/>
  <c r="D153" i="15"/>
  <c r="D154" i="15" s="1"/>
  <c r="G148" i="15"/>
</calcChain>
</file>

<file path=xl/sharedStrings.xml><?xml version="1.0" encoding="utf-8"?>
<sst xmlns="http://schemas.openxmlformats.org/spreadsheetml/2006/main" count="621" uniqueCount="195">
  <si>
    <t>Հողի հարկ</t>
  </si>
  <si>
    <t>Գույքահարկ /շինությունից/</t>
  </si>
  <si>
    <t>Գույքահարկ /փոխադրամիջոցից/</t>
  </si>
  <si>
    <t>Տեղական տուրքեր</t>
  </si>
  <si>
    <t>Այլ եկամուտներ</t>
  </si>
  <si>
    <t>ՀՀ Պետ բյուջեից դոտացիա</t>
  </si>
  <si>
    <t>Վարձակալված հողի և գույքի վճար</t>
  </si>
  <si>
    <t>Տեղական վճար</t>
  </si>
  <si>
    <t>Ընդամենը վարչական բյուջե</t>
  </si>
  <si>
    <t>Հողի օտարումից եկամուտ</t>
  </si>
  <si>
    <t>Ֆոնդային բյուջեի ազատ մնացորդ</t>
  </si>
  <si>
    <t>Ընդամենը վարչական և ֆոնդային բյուջե</t>
  </si>
  <si>
    <t>Եկամուտների անվանումները</t>
  </si>
  <si>
    <t>հազ.դրամ</t>
  </si>
  <si>
    <t>Հավելված 4</t>
  </si>
  <si>
    <t>Ընդհանուր բնույթի հանրային ծառայություններ</t>
  </si>
  <si>
    <t>Պահուստային ֆոնդ ( վարչ.բյուջե )</t>
  </si>
  <si>
    <t>Շենքեր և շինությունների կառուցում</t>
  </si>
  <si>
    <t>Շենքեր և շինությունների կապիտալ վերանորոգում</t>
  </si>
  <si>
    <t>Տրանսպորտային սարքավորումներ</t>
  </si>
  <si>
    <t>Վարչական սարքավորումներ</t>
  </si>
  <si>
    <t>Ընդամենը</t>
  </si>
  <si>
    <t>Աշխատավարձ</t>
  </si>
  <si>
    <t>Պարգևատրում</t>
  </si>
  <si>
    <t>Էներգետիկ ծառայություններ</t>
  </si>
  <si>
    <t>Կոմունալ ծառայություններ</t>
  </si>
  <si>
    <t>Կապի ծառայություններ</t>
  </si>
  <si>
    <t>Ապահովագրական ծախսեր</t>
  </si>
  <si>
    <t>Գույքի և սարքավորումների վարձակալություն</t>
  </si>
  <si>
    <t>Ներքին գործուղում</t>
  </si>
  <si>
    <t>Վարչական ծառայություններ</t>
  </si>
  <si>
    <t>Համակարգչային ծառայություններ</t>
  </si>
  <si>
    <t>Տեղեկատվական ծառայություններ</t>
  </si>
  <si>
    <t>Կենցաղային և հանրային սննդի ծառայություններ</t>
  </si>
  <si>
    <t>Ներկայացուցչական ծախսեր</t>
  </si>
  <si>
    <t>Ընդհանուր բնույթի այլ ծառայություններ</t>
  </si>
  <si>
    <t>Մասնագիտական ծառայություններ</t>
  </si>
  <si>
    <t xml:space="preserve">Շենքերի և կառույցների ընթացիկ նորոգում և պահպանում </t>
  </si>
  <si>
    <t xml:space="preserve">Մեքենաների և սարքավորումների ընթացիկ նորոգում և պահպանում </t>
  </si>
  <si>
    <t>Գրասենյակային նյութեր և հագուստ</t>
  </si>
  <si>
    <t>Տրանսպորտային նյութեր</t>
  </si>
  <si>
    <t>Կենցաղային և հանրային սննդիր նյութեր</t>
  </si>
  <si>
    <t>Հատուկ նպատակային այլ նյութեր</t>
  </si>
  <si>
    <t>Սուբսիդիաներ ոչ ֆինանսական պետական /համայնքային/ կազմակերպություններին</t>
  </si>
  <si>
    <t>Ընթացիկ դրամաշնորհներ պետական և համայնքների  առևտրային կազմակերպ.</t>
  </si>
  <si>
    <t>Այլ նպաստներ բյուջեից</t>
  </si>
  <si>
    <t>Նվիրատվություններ այլ շահույթ չհետապնդող կազմակերպություններին</t>
  </si>
  <si>
    <t>Պարտադիր վճարներ</t>
  </si>
  <si>
    <t>Պահուստային ֆոնդ</t>
  </si>
  <si>
    <t>Շենքերի և շինությունների կառուցում</t>
  </si>
  <si>
    <t>Շենքերի և շինությունների կապիտալ վերանորոգում</t>
  </si>
  <si>
    <t>Վարչական  սարքավորումներ</t>
  </si>
  <si>
    <t>N</t>
  </si>
  <si>
    <t>Տեղեկություններ գույքահարկի և հողի հարկի, հողերի և այլ գույքի վարձակալության վարձավճարների գծով առանձին ցուցանիշների վերաբերյալ</t>
  </si>
  <si>
    <t>(հազար դրամով)</t>
  </si>
  <si>
    <t>Եկամտատեսակները</t>
  </si>
  <si>
    <t>Ա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</si>
  <si>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</si>
  <si>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</si>
  <si>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</si>
  <si>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</si>
  <si>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</si>
  <si>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</si>
  <si>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>տվյալ տարվա հաշվարկային գումարը</t>
  </si>
  <si>
    <t xml:space="preserve"> --</t>
  </si>
  <si>
    <t xml:space="preserve"> «Մշակույթ և սպորտ» </t>
  </si>
  <si>
    <t xml:space="preserve">Արվեստի դպրոց                                      Ազգային նվագ.փոխհատուց                </t>
  </si>
  <si>
    <t>Այլ վարձատրություններ</t>
  </si>
  <si>
    <t>Աշխատակազմի մասնագիտական զարգացման ծառայություններ</t>
  </si>
  <si>
    <t>Զուտ եկամուտ</t>
  </si>
  <si>
    <t>Համայնքապետարան</t>
  </si>
  <si>
    <t xml:space="preserve">Ազգային նվագարանների և նվազագ.աշխատավարձի գծով  </t>
  </si>
  <si>
    <t>2022թ. Կանխատեսվող</t>
  </si>
  <si>
    <t>2021թ. Հաստատված</t>
  </si>
  <si>
    <t>2020թ. Փաստացի</t>
  </si>
  <si>
    <t>Պետական բյուջեից կապիտալ ծախսերի ֆինանսավորման նպատակային հատկացումներ (սուբվենցիաներ)</t>
  </si>
  <si>
    <t>Անշարժ գույքի հարկ</t>
  </si>
  <si>
    <t>Սոց օգնություն</t>
  </si>
  <si>
    <t>Կեղտաջրերի հեռացում</t>
  </si>
  <si>
    <t xml:space="preserve"> Փողոցների լուսավորություն </t>
  </si>
  <si>
    <t>Ոռոգում</t>
  </si>
  <si>
    <t>2020 թ. փաստացի</t>
  </si>
  <si>
    <t>Այլ կապիտալ դրամաշնորհներ</t>
  </si>
  <si>
    <t>Նախագծահետազոտական ծախսեր</t>
  </si>
  <si>
    <t>Կառավարչական ծառայություններ</t>
  </si>
  <si>
    <t>Փարաքար</t>
  </si>
  <si>
    <t>Մերձավան</t>
  </si>
  <si>
    <t>Նորակերտ</t>
  </si>
  <si>
    <t>Բաղրամյան</t>
  </si>
  <si>
    <t>Այգեկ</t>
  </si>
  <si>
    <t>Մուսալեռ</t>
  </si>
  <si>
    <t>Պտղունք</t>
  </si>
  <si>
    <t>Արևաշատ</t>
  </si>
  <si>
    <t>Քաղաքացիական պաշտպանություն</t>
  </si>
  <si>
    <t>Գյուղատնտեսություն</t>
  </si>
  <si>
    <t>Տրանսպորտ</t>
  </si>
  <si>
    <t>Նախադպրոցական կրթություն</t>
  </si>
  <si>
    <t>Առողջապահություն</t>
  </si>
  <si>
    <t>Ռադիո և հեռուստահաղորդումներ</t>
  </si>
  <si>
    <t>Միջնակարգ  ընդհանուր կրթություն</t>
  </si>
  <si>
    <t>Գործառնական և բանկային ծառայություն</t>
  </si>
  <si>
    <t>Պետ,հատվածի տարբեր մակ,կողմից միմ,նկատմամբ կիրառվող տույժեր</t>
  </si>
  <si>
    <t>Աղբահանում</t>
  </si>
  <si>
    <t>Հրատարակչություն</t>
  </si>
  <si>
    <t>Սուբսիդիաներ առողջապահություն</t>
  </si>
  <si>
    <t>Բնական աղետներից առաջացած վնասների վերականգնում</t>
  </si>
  <si>
    <t>Այլ Մշակութային միջոցառոմներ</t>
  </si>
  <si>
    <t>Մշակույթի տներ ակումբներ</t>
  </si>
  <si>
    <t>Անտառային տնտեսություն</t>
  </si>
  <si>
    <t>ՀԱՅԱՍՏԱՆԻ ՀԱՆՐԱՊԵՏՈՒԹՅԱՆ ՓԱՐԱՔԱՐ  ՀԱՄԱՅՆՔԻ 2022 ԹՎԱԿԱՆԻ ԲՅՈՒՋԵԻ ԾԱԽՍԵՐԻ ՀԱՄԵՄԱՏԱԿԱՆԸ  ԸՍՏ  ՏՆՏԵՍԱԳԻՏԱԿԱՆ ԴԱՍԱԿԱՐԳՄԱՆ</t>
  </si>
  <si>
    <t>Հայաստանի Հանրապետության Արմավիրի մարզի Փարաքար համայնքի 2022 թվականի ավագանու  Մարտի      -ի N    - ին նիստի     -Ն որոշման</t>
  </si>
  <si>
    <t>ՀԱՅԱՍՏԱՆԻ ՀԱՆՐԱՊԵՏՈՒԹՅԱՆ ԱՐՄԱՎԻՐԻ ՄԱՐԶԻ ՓԱՐԱՔԱՐ  ՀԱՄԱՅՆՔԻ 2022 ԹՎԱԿԱՆԻ ԲՅՈՒՋԵԻ ԵԿԱՄՈՒՏՆԵՐԻ ՀԱՄԵՄԱՏԱԿԱՆԸ</t>
  </si>
  <si>
    <t>Այլ դոտացիա</t>
  </si>
  <si>
    <t>ՓԱՐԱՔԱՐ</t>
  </si>
  <si>
    <t xml:space="preserve">                                                                                                                                       Ñ³½.¹ñ³Ù</t>
  </si>
  <si>
    <t>Հավելված 2</t>
  </si>
  <si>
    <t>Հայաստանի Հանրապետության Արմավիրի մարզի Փարաքար համայնքի 2022 թվականի ավագանու  դեկտեմբերի    - ին նիստի    -Ն որոշման</t>
  </si>
  <si>
    <t>Հայաստանի Հանրապետության Արմավիրի մարզի Փարաքար համայնքի 2022 թվականի ավագանու  Փետրվարի    - ին նիստի    -Ն որոշման</t>
  </si>
  <si>
    <r>
      <t xml:space="preserve">Կ.Տ.       </t>
    </r>
    <r>
      <rPr>
        <sz val="12"/>
        <rFont val="Arial Armenian"/>
        <family val="2"/>
      </rPr>
      <t>ՀԱՄԱՅՆՔԻ ՂԵԿԱՎԱՐ՝                                           Դ.ՄԻՆԱՍՅԱՆ</t>
    </r>
  </si>
  <si>
    <t xml:space="preserve">   Ծախսերի բնագավառները</t>
  </si>
  <si>
    <t>Այլ մեքենաներ և սարքավորումներ</t>
  </si>
  <si>
    <t>Ոչ նյութական հիմնական միջոցներ</t>
  </si>
  <si>
    <t>Աճեցվող ակտիվներ</t>
  </si>
  <si>
    <t>Նյութեր և պարագաներ</t>
  </si>
  <si>
    <t>Վառելիք և էներգետիկա</t>
  </si>
  <si>
    <t xml:space="preserve">ճանապարհային տրանսպորտ </t>
  </si>
  <si>
    <t xml:space="preserve">Արվեստի դպրոց                                   Ազգային նվագ.փոխհատուց                </t>
  </si>
  <si>
    <t>Կենցաղային և հանրային սննդի նյութեր</t>
  </si>
  <si>
    <t>Արտասահմանյան գործուղումների գծով ծախսեր</t>
  </si>
  <si>
    <t>Փարաքար-Թաիրով</t>
  </si>
  <si>
    <t>Հավելված 3</t>
  </si>
  <si>
    <t>ԾԱԽՍԵՐ</t>
  </si>
  <si>
    <t>Հավելված 1</t>
  </si>
  <si>
    <t>Ազգային նվագարանների գծով սուբվենցիա</t>
  </si>
  <si>
    <t>Մշակույթի տներ, ակումբներ, կենտրոններ</t>
  </si>
  <si>
    <t>Այլ մշակութային կազմակերպություններ</t>
  </si>
  <si>
    <t>Հանգստի և սպորտի ծառայություններ</t>
  </si>
  <si>
    <t>Հանգիստ, մշակույթ և կրոն (այլ դասերին չպատկանող)</t>
  </si>
  <si>
    <t xml:space="preserve">Արտադպրոցական դաստիարակություն           </t>
  </si>
  <si>
    <t>Այլ ակտիվների ձեռք բերման ծախսեր</t>
  </si>
  <si>
    <t>Թաիրով</t>
  </si>
  <si>
    <t>Փարաքարի մանկապարտեզ ՀՈԱԿ</t>
  </si>
  <si>
    <t>Մերձավանի մանկապարտեզ ՀՈԱԿ</t>
  </si>
  <si>
    <t>Նորակերտի մանկապարտեզ ՀՈԱԿ</t>
  </si>
  <si>
    <t>Բաղրամյանի մանկապարտեզ ՀՈԱԿ</t>
  </si>
  <si>
    <t>Մուսալեռի մանկապարտեզ ՀՈԱԿ</t>
  </si>
  <si>
    <t>Պտղունքի մանկապարտեզ ՀՈԱԿ</t>
  </si>
  <si>
    <t>Փարաքարի արվեստի դպրոց ՀՈԱԿ</t>
  </si>
  <si>
    <t>Փարաքարի մշակույթի տուն ՀՈԱԿ</t>
  </si>
  <si>
    <t>Փարաքարի մարզադպրոց ՀՈԱԿ</t>
  </si>
  <si>
    <t>Թաիրովի մանկապարտեզ</t>
  </si>
  <si>
    <t>Այգեկի մանկապարտեզ</t>
  </si>
  <si>
    <t>Աղբահանություն</t>
  </si>
  <si>
    <t>Ինքնակամ շին.օրինականացում</t>
  </si>
  <si>
    <t>Շին. Ավարտի փաստագրում</t>
  </si>
  <si>
    <t>Մանկապարտեզներ</t>
  </si>
  <si>
    <t>Հ/Հ</t>
  </si>
  <si>
    <t>ԸՆԴԱՄԵՆԸ ԱՆՇԱՐԺ ԳՈՒՅՔ</t>
  </si>
  <si>
    <t>ԸՆԴԱՄԵՆԸ ՀՈՂԻ ՀԱՐԿ</t>
  </si>
  <si>
    <t>ԸՆԴԱՄԵՆԸ  ԳՈՒՅՔԱՀԱՐԿ ՇԻՆ.</t>
  </si>
  <si>
    <t>2023թ. Փաստացի</t>
  </si>
  <si>
    <t>2024թ. Հաստատված</t>
  </si>
  <si>
    <t>2025թ. Կանխատեսվող</t>
  </si>
  <si>
    <t xml:space="preserve">ԸՆԴԱՄԵՆԸ Գույքահարկ /փոխադրամիջոցից/ </t>
  </si>
  <si>
    <t>Արխիվից փաստաթղթի տրամադրում</t>
  </si>
  <si>
    <t>համայնքի տարածքում շին փոփոխություն</t>
  </si>
  <si>
    <t>Համայնքի կողմից կազմակերպվող մրցույթների և աճուրդների մասնակցության համար</t>
  </si>
  <si>
    <t>Մուսալեռ / Ոռոգման ջրի մատակար./</t>
  </si>
  <si>
    <t>Այլ  եկամուտ</t>
  </si>
  <si>
    <t>Փարաքար հասցե</t>
  </si>
  <si>
    <t>մանկավարժնեի վերապատրաստվում</t>
  </si>
  <si>
    <t>մանկավարժների ատեստավորում</t>
  </si>
  <si>
    <t>Այլընտրանքային աշխատավարձ</t>
  </si>
  <si>
    <t>Արևաշատի մանկապարտեզ</t>
  </si>
  <si>
    <t>ՀԱՅԱՍՏԱՆԻ ՀԱՆՐԱՊԵՏՈՒԹՅԱՆ ՓԱՐԱՔԱՐ  ՀԱՄԱՅՆՔԻ 2025 ԹՎԱԿԱՆԻ ԲՅՈՒՋԵԻ ԾԱԽՍԵՐԻ ՀԱՄԵՄԱՏԱԿԱՆԸ  ԸՍՏ  ՏՆՏԵՍԱԳԻՏԱԿԱՆ ԴԱՍԱԿԱՐԳՄԱՆ</t>
  </si>
  <si>
    <t>ՀԱՅԱՍՏԱՆԻ ՀԱՆՐԱՊԵՏՈՒԹՅԱՆ ՓԱՐԱՔԱՐ ՀԱՄԱՅՆՔԻ 2025 ԹՎԱԿԱՆԻ ԲՅՈՒՋԵԻ ԾԱԽՍԵՐԻ ՀԱՄԵՄԱՏԱԿԱՆԸ  ԸՍՏ ԳՈՐԾԱՌՆԱԿԱՆ ԴԱՍԱԿԱՐԳՄԱՆ</t>
  </si>
  <si>
    <t>ՀԱՅԱՍՏԱՆԻ ՀԱՆՐԱՊԵՏՈՒԹՅԱՆ ԱՐՄԱՎԻՐԻ ՄԱՐԶԻ ՓԱՐԱՔԱՐ  ՀԱՄԱՅՆՔԻ 2025 ԹՎԱԿԱՆԻ ԲՅՈՒՋԵԻ ԵԿԱՄՈՒՏՆԵՐԻ ՀԱՄԵՄԱՏԱԿԱՆԸ</t>
  </si>
  <si>
    <t>Լ.ԳՅՈՒԼՆԱԶԱՐՅԱՆ</t>
  </si>
  <si>
    <t>Կ.Տ.       ՀԱՄԱՅՆՔԻ ՂԵԿԱՎԱՐԻ Պ/Կ՝</t>
  </si>
  <si>
    <t>2023 թ. փաստացի</t>
  </si>
  <si>
    <r>
      <t xml:space="preserve">Կ.Տ.       </t>
    </r>
    <r>
      <rPr>
        <sz val="12"/>
        <rFont val="Arial Armenian"/>
        <family val="2"/>
      </rPr>
      <t>ՀԱՄԱՅՆՔԻ ՂԵԿԱՎԱՐԻ Պ/Կ՝                                           Լ.ԳՅՈՒԼՆԱԶԱՐՅԱՆ</t>
    </r>
  </si>
  <si>
    <t>Պետության կողմից նպաստի ձևով արտադպրոցական ծրագրեր իրականացնող կամավոր ատեստավորված մանկավարժներին տրամադրվող լրավճար</t>
  </si>
  <si>
    <t>Պետության կողմից նպաստի ձևով պարտադիր վերապատրաստված մանկավարժների ծախսերի փոխհատուցման գումար</t>
  </si>
  <si>
    <t xml:space="preserve">Ինքնակամ կառուցված շենքերի, շինությունների օրինականացման համար </t>
  </si>
  <si>
    <t xml:space="preserve">Կապիտալ ոչ պաշտոնական դրամաշնորհներ   </t>
  </si>
  <si>
    <t>Մուտքեր տույժերից, տուգանքներից</t>
  </si>
  <si>
    <t>ապառքը տարեսկզբի դրությամբ     01.01.2024թ.</t>
  </si>
  <si>
    <t>ապառքը տարեվերջի դրությամբ 31.12.2024թ.</t>
  </si>
  <si>
    <t xml:space="preserve">2025թ.  Փետրվար   գ.Փարաքար </t>
  </si>
  <si>
    <r>
      <t xml:space="preserve">Կ.Տ.  </t>
    </r>
    <r>
      <rPr>
        <sz val="12"/>
        <rFont val="Arial Armenian"/>
        <family val="2"/>
      </rPr>
      <t>ՀԱՄԱՅՆՔԻ ՂԵԿԱՎԱՐԻ Պ/Կ ՝                                          Լ.ԳՅՈՒԼՆԱԶԱՐՅԱՆ</t>
    </r>
  </si>
  <si>
    <r>
      <t xml:space="preserve">Կ.Տ.       </t>
    </r>
    <r>
      <rPr>
        <sz val="12"/>
        <rFont val="Arial Armenian"/>
        <family val="2"/>
      </rPr>
      <t xml:space="preserve">ՀԱՄԱՅՆՔԻ ՂԵԿԱՎԱՐԻ Պ/Կ՝                                             Լ.ԳՅՈՒԼՆԱԶԱՐՅԱՆ </t>
    </r>
  </si>
  <si>
    <t xml:space="preserve">  Հայաստանի Հանրապետության Արմավիրի մարզի Փարաքար համայնքի 2025 թվականի ավագանու  փետրվարի 17 - ի   նիստի   N  3  -Ն որոշման</t>
  </si>
  <si>
    <t xml:space="preserve"> Հայաստանի Հանրապետության Արմավիրի մարզի Փարաքար համայնքի 2025 թվականի ավագանու  փետրվարի  17  - ի   նիստի   N 3  -Ն որոշման</t>
  </si>
  <si>
    <t xml:space="preserve">   Հայաստանի Հանրապետության Արմավիրի մարզի Փարաքար համայնքի 2025 թվականի ավագանու փետրվարի   17- ի   նիստի   N 3  -Ն որոշման</t>
  </si>
  <si>
    <t xml:space="preserve">  Հայաստանի Հանրապետության Արմավիրի մարզի Փարաքար համայնքի 2025 թվականի ավագանու  փետրվարի   17 - ի   նիստի   N 3 -Ն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</si>
</sst>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3" formatCode="0.0"/>
    <numFmt numFmtId="195" formatCode="0.000"/>
    <numFmt numFmtId="196" formatCode="0.0000"/>
    <numFmt numFmtId="197" formatCode="000"/>
    <numFmt numFmtId="198" formatCode="0000"/>
    <numFmt numFmtId="203" formatCode="0.0000000000"/>
    <numFmt numFmtId="205" formatCode="#,##0.000"/>
  </numFmts>
  <fonts count="24">
    <font>
      <sz val="10"/>
      <name val="Arial Cyr"/>
    </font>
    <font>
      <sz val="10"/>
      <name val="Arial Armenian"/>
      <family val="2"/>
    </font>
    <font>
      <sz val="12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sz val="11"/>
      <color indexed="8"/>
      <name val="GHEA Grapalat"/>
      <family val="3"/>
    </font>
    <font>
      <sz val="10"/>
      <name val="Arial Cyr"/>
      <family val="2"/>
      <charset val="204"/>
    </font>
    <font>
      <sz val="11"/>
      <name val="Arial Armenian"/>
      <family val="2"/>
    </font>
    <font>
      <sz val="11"/>
      <name val="Arial Cyr"/>
      <family val="2"/>
      <charset val="204"/>
    </font>
    <font>
      <sz val="11"/>
      <name val="Arial Unicode"/>
      <family val="2"/>
      <charset val="204"/>
    </font>
    <font>
      <sz val="11"/>
      <color indexed="8"/>
      <name val="Arial Unicode"/>
      <family val="2"/>
      <charset val="204"/>
    </font>
    <font>
      <sz val="11"/>
      <color indexed="8"/>
      <name val="Arial Armenian"/>
      <family val="2"/>
    </font>
    <font>
      <sz val="10"/>
      <name val="Arial Cyr"/>
      <family val="2"/>
      <charset val="204"/>
    </font>
    <font>
      <sz val="11"/>
      <name val="Calibri"/>
      <family val="2"/>
    </font>
    <font>
      <b/>
      <sz val="11"/>
      <name val="GHEA Grapalat"/>
      <family val="3"/>
    </font>
    <font>
      <sz val="11"/>
      <name val="Arial Armenian"/>
      <family val="2"/>
      <charset val="204"/>
    </font>
    <font>
      <sz val="12"/>
      <name val="Arial Armenian"/>
      <family val="2"/>
    </font>
    <font>
      <sz val="10"/>
      <name val="Arial LatArm"/>
      <family val="2"/>
    </font>
    <font>
      <sz val="12"/>
      <name val="Arial LatArm"/>
      <family val="2"/>
    </font>
    <font>
      <sz val="11"/>
      <color theme="1"/>
      <name val="Calibri"/>
      <family val="2"/>
      <scheme val="minor"/>
    </font>
    <font>
      <sz val="11"/>
      <color rgb="FFFF0000"/>
      <name val="GHEA Grapalat"/>
      <family val="3"/>
    </font>
    <font>
      <sz val="11"/>
      <color theme="1"/>
      <name val="Arial Armenian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1" fillId="0" borderId="0"/>
    <xf numFmtId="0" fontId="21" fillId="3" borderId="13" applyNumberFormat="0" applyFont="0" applyAlignment="0" applyProtection="0"/>
    <xf numFmtId="4" fontId="19" fillId="0" borderId="14" applyFill="0" applyProtection="0">
      <alignment horizontal="right" vertical="center"/>
    </xf>
    <xf numFmtId="0" fontId="14" fillId="0" borderId="0"/>
  </cellStyleXfs>
  <cellXfs count="27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0" xfId="0" applyAlignment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195" fontId="2" fillId="0" borderId="0" xfId="0" applyNumberFormat="1" applyFont="1" applyBorder="1" applyAlignment="1">
      <alignment horizontal="center" vertical="center" wrapText="1"/>
    </xf>
    <xf numFmtId="193" fontId="2" fillId="0" borderId="0" xfId="0" applyNumberFormat="1" applyFont="1" applyBorder="1" applyAlignment="1">
      <alignment horizontal="center" vertical="center" wrapText="1"/>
    </xf>
    <xf numFmtId="197" fontId="3" fillId="0" borderId="0" xfId="0" applyNumberFormat="1" applyFont="1" applyFill="1" applyBorder="1" applyAlignment="1">
      <alignment horizontal="center" vertical="top"/>
    </xf>
    <xf numFmtId="193" fontId="0" fillId="0" borderId="0" xfId="0" applyNumberFormat="1"/>
    <xf numFmtId="0" fontId="9" fillId="0" borderId="0" xfId="0" applyFont="1"/>
    <xf numFmtId="0" fontId="10" fillId="0" borderId="0" xfId="0" applyFont="1"/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center" wrapText="1"/>
    </xf>
    <xf numFmtId="193" fontId="4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95" fontId="4" fillId="4" borderId="1" xfId="0" applyNumberFormat="1" applyFont="1" applyFill="1" applyBorder="1" applyAlignment="1">
      <alignment horizontal="center" vertical="center" wrapText="1"/>
    </xf>
    <xf numFmtId="193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95" fontId="4" fillId="4" borderId="1" xfId="0" applyNumberFormat="1" applyFont="1" applyFill="1" applyBorder="1" applyAlignment="1">
      <alignment horizontal="center" vertical="center"/>
    </xf>
    <xf numFmtId="193" fontId="4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193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195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95" fontId="7" fillId="4" borderId="1" xfId="0" applyNumberFormat="1" applyFont="1" applyFill="1" applyBorder="1" applyAlignment="1">
      <alignment horizontal="center" vertical="center" wrapText="1"/>
    </xf>
    <xf numFmtId="2" fontId="4" fillId="4" borderId="1" xfId="4" applyNumberFormat="1" applyFont="1" applyFill="1" applyBorder="1" applyAlignment="1">
      <alignment horizontal="right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left" vertical="center" wrapText="1"/>
    </xf>
    <xf numFmtId="2" fontId="2" fillId="4" borderId="1" xfId="4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1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195" fontId="3" fillId="4" borderId="0" xfId="0" applyNumberFormat="1" applyFont="1" applyFill="1" applyBorder="1"/>
    <xf numFmtId="0" fontId="10" fillId="4" borderId="0" xfId="0" applyFont="1" applyFill="1"/>
    <xf numFmtId="195" fontId="9" fillId="4" borderId="0" xfId="0" applyNumberFormat="1" applyFont="1" applyFill="1"/>
    <xf numFmtId="0" fontId="10" fillId="4" borderId="0" xfId="0" applyFont="1" applyFill="1" applyBorder="1"/>
    <xf numFmtId="2" fontId="10" fillId="4" borderId="0" xfId="0" applyNumberFormat="1" applyFont="1" applyFill="1"/>
    <xf numFmtId="0" fontId="9" fillId="4" borderId="0" xfId="0" applyFont="1" applyFill="1"/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/>
    <xf numFmtId="0" fontId="7" fillId="0" borderId="1" xfId="0" applyFont="1" applyFill="1" applyBorder="1" applyAlignment="1">
      <alignment horizontal="left" vertical="center" wrapText="1"/>
    </xf>
    <xf numFmtId="193" fontId="15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top" wrapText="1"/>
    </xf>
    <xf numFmtId="195" fontId="7" fillId="5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193" fontId="7" fillId="5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/>
    </xf>
    <xf numFmtId="195" fontId="4" fillId="4" borderId="1" xfId="0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195" fontId="4" fillId="4" borderId="1" xfId="0" applyNumberFormat="1" applyFont="1" applyFill="1" applyBorder="1" applyAlignment="1">
      <alignment horizontal="righ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2" fontId="4" fillId="6" borderId="1" xfId="0" applyNumberFormat="1" applyFont="1" applyFill="1" applyBorder="1" applyAlignment="1">
      <alignment horizontal="right" vertical="center" wrapText="1"/>
    </xf>
    <xf numFmtId="195" fontId="4" fillId="6" borderId="1" xfId="0" applyNumberFormat="1" applyFont="1" applyFill="1" applyBorder="1" applyAlignment="1">
      <alignment horizontal="right" vertical="center" wrapText="1"/>
    </xf>
    <xf numFmtId="2" fontId="4" fillId="7" borderId="1" xfId="0" applyNumberFormat="1" applyFont="1" applyFill="1" applyBorder="1" applyAlignment="1">
      <alignment horizontal="right" vertical="center" wrapText="1"/>
    </xf>
    <xf numFmtId="2" fontId="22" fillId="4" borderId="1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4" borderId="1" xfId="4" applyNumberFormat="1" applyFont="1" applyFill="1" applyBorder="1" applyAlignment="1">
      <alignment horizontal="right" vertical="center"/>
    </xf>
    <xf numFmtId="195" fontId="17" fillId="4" borderId="1" xfId="0" applyNumberFormat="1" applyFont="1" applyFill="1" applyBorder="1" applyAlignment="1">
      <alignment horizontal="right" vertical="center" wrapText="1"/>
    </xf>
    <xf numFmtId="2" fontId="17" fillId="4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left" vertical="center" wrapText="1"/>
    </xf>
    <xf numFmtId="195" fontId="17" fillId="4" borderId="1" xfId="0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left" vertical="center" wrapText="1"/>
    </xf>
    <xf numFmtId="2" fontId="10" fillId="4" borderId="0" xfId="0" applyNumberFormat="1" applyFont="1" applyFill="1" applyAlignment="1">
      <alignment vertical="center"/>
    </xf>
    <xf numFmtId="2" fontId="10" fillId="0" borderId="0" xfId="0" applyNumberFormat="1" applyFont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195" fontId="4" fillId="0" borderId="1" xfId="0" applyNumberFormat="1" applyFont="1" applyBorder="1" applyAlignment="1">
      <alignment horizontal="right" vertical="center"/>
    </xf>
    <xf numFmtId="2" fontId="4" fillId="5" borderId="1" xfId="0" applyNumberFormat="1" applyFont="1" applyFill="1" applyBorder="1" applyAlignment="1">
      <alignment horizontal="right" vertical="center"/>
    </xf>
    <xf numFmtId="1" fontId="9" fillId="0" borderId="0" xfId="0" applyNumberFormat="1" applyFont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10" fillId="4" borderId="0" xfId="0" applyNumberFormat="1" applyFont="1" applyFill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195" fontId="10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right" vertical="center"/>
    </xf>
    <xf numFmtId="2" fontId="9" fillId="4" borderId="0" xfId="0" applyNumberFormat="1" applyFont="1" applyFill="1" applyAlignment="1">
      <alignment horizontal="right" vertical="center"/>
    </xf>
    <xf numFmtId="2" fontId="4" fillId="5" borderId="1" xfId="0" applyNumberFormat="1" applyFont="1" applyFill="1" applyBorder="1" applyAlignment="1">
      <alignment horizontal="left" vertical="center"/>
    </xf>
    <xf numFmtId="195" fontId="4" fillId="5" borderId="1" xfId="0" applyNumberFormat="1" applyFont="1" applyFill="1" applyBorder="1" applyAlignment="1">
      <alignment horizontal="right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top" wrapText="1"/>
    </xf>
    <xf numFmtId="195" fontId="4" fillId="4" borderId="1" xfId="0" applyNumberFormat="1" applyFont="1" applyFill="1" applyBorder="1" applyAlignment="1">
      <alignment horizontal="center" vertical="top" wrapText="1"/>
    </xf>
    <xf numFmtId="2" fontId="4" fillId="5" borderId="1" xfId="0" applyNumberFormat="1" applyFont="1" applyFill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95" fontId="4" fillId="6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right"/>
    </xf>
    <xf numFmtId="0" fontId="4" fillId="4" borderId="1" xfId="0" applyFont="1" applyFill="1" applyBorder="1" applyAlignment="1">
      <alignment horizontal="right" vertical="center" wrapText="1"/>
    </xf>
    <xf numFmtId="193" fontId="4" fillId="4" borderId="1" xfId="0" applyNumberFormat="1" applyFont="1" applyFill="1" applyBorder="1" applyAlignment="1">
      <alignment horizontal="right" vertical="center" wrapText="1"/>
    </xf>
    <xf numFmtId="195" fontId="3" fillId="4" borderId="0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4" fillId="4" borderId="0" xfId="0" applyFont="1" applyFill="1" applyAlignment="1">
      <alignment horizontal="right" vertical="center" wrapText="1"/>
    </xf>
    <xf numFmtId="195" fontId="7" fillId="4" borderId="1" xfId="0" applyNumberFormat="1" applyFont="1" applyFill="1" applyBorder="1" applyAlignment="1">
      <alignment horizontal="right" vertical="center" wrapText="1"/>
    </xf>
    <xf numFmtId="2" fontId="7" fillId="4" borderId="1" xfId="0" applyNumberFormat="1" applyFont="1" applyFill="1" applyBorder="1" applyAlignment="1">
      <alignment horizontal="right" vertical="center" wrapText="1"/>
    </xf>
    <xf numFmtId="193" fontId="7" fillId="4" borderId="1" xfId="0" applyNumberFormat="1" applyFont="1" applyFill="1" applyBorder="1" applyAlignment="1">
      <alignment horizontal="right" vertical="center" wrapText="1"/>
    </xf>
    <xf numFmtId="195" fontId="3" fillId="4" borderId="0" xfId="0" applyNumberFormat="1" applyFont="1" applyFill="1" applyAlignment="1">
      <alignment horizontal="right"/>
    </xf>
    <xf numFmtId="0" fontId="4" fillId="4" borderId="1" xfId="0" applyFont="1" applyFill="1" applyBorder="1" applyAlignment="1">
      <alignment horizontal="right" vertical="top" wrapText="1"/>
    </xf>
    <xf numFmtId="195" fontId="7" fillId="5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right" vertical="center" wrapText="1"/>
    </xf>
    <xf numFmtId="2" fontId="7" fillId="5" borderId="1" xfId="0" applyNumberFormat="1" applyFont="1" applyFill="1" applyBorder="1" applyAlignment="1">
      <alignment horizontal="right" vertical="center" wrapText="1"/>
    </xf>
    <xf numFmtId="2" fontId="10" fillId="4" borderId="0" xfId="0" applyNumberFormat="1" applyFont="1" applyFill="1" applyAlignment="1">
      <alignment horizontal="right"/>
    </xf>
    <xf numFmtId="0" fontId="10" fillId="4" borderId="0" xfId="0" applyFont="1" applyFill="1" applyAlignment="1">
      <alignment horizontal="right"/>
    </xf>
    <xf numFmtId="195" fontId="9" fillId="4" borderId="0" xfId="0" applyNumberFormat="1" applyFont="1" applyFill="1" applyAlignment="1">
      <alignment horizontal="right"/>
    </xf>
    <xf numFmtId="195" fontId="0" fillId="4" borderId="0" xfId="0" applyNumberFormat="1" applyFill="1"/>
    <xf numFmtId="0" fontId="4" fillId="4" borderId="0" xfId="0" applyFont="1" applyFill="1" applyAlignment="1">
      <alignment horizontal="center"/>
    </xf>
    <xf numFmtId="195" fontId="4" fillId="4" borderId="0" xfId="0" applyNumberFormat="1" applyFont="1" applyFill="1" applyAlignment="1">
      <alignment horizontal="center"/>
    </xf>
    <xf numFmtId="0" fontId="0" fillId="4" borderId="0" xfId="0" applyFill="1" applyAlignment="1">
      <alignment vertical="center"/>
    </xf>
    <xf numFmtId="195" fontId="0" fillId="4" borderId="0" xfId="0" applyNumberFormat="1" applyFill="1" applyAlignment="1">
      <alignment vertical="center"/>
    </xf>
    <xf numFmtId="193" fontId="0" fillId="4" borderId="0" xfId="0" applyNumberForma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95" fontId="0" fillId="0" borderId="0" xfId="0" applyNumberFormat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193" fontId="7" fillId="7" borderId="1" xfId="0" applyNumberFormat="1" applyFont="1" applyFill="1" applyBorder="1" applyAlignment="1">
      <alignment horizontal="center" vertical="center" wrapText="1"/>
    </xf>
    <xf numFmtId="193" fontId="4" fillId="7" borderId="1" xfId="0" applyNumberFormat="1" applyFont="1" applyFill="1" applyBorder="1" applyAlignment="1">
      <alignment horizontal="center" vertical="center" wrapText="1"/>
    </xf>
    <xf numFmtId="2" fontId="2" fillId="7" borderId="1" xfId="4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/>
    </xf>
    <xf numFmtId="195" fontId="4" fillId="7" borderId="1" xfId="0" applyNumberFormat="1" applyFont="1" applyFill="1" applyBorder="1" applyAlignment="1">
      <alignment horizontal="center" vertical="center" wrapText="1"/>
    </xf>
    <xf numFmtId="0" fontId="10" fillId="7" borderId="0" xfId="0" applyFont="1" applyFill="1"/>
    <xf numFmtId="0" fontId="1" fillId="0" borderId="0" xfId="0" applyFont="1" applyAlignment="1">
      <alignment horizontal="center" vertical="center"/>
    </xf>
    <xf numFmtId="2" fontId="9" fillId="4" borderId="0" xfId="0" applyNumberFormat="1" applyFont="1" applyFill="1" applyAlignment="1">
      <alignment horizontal="right"/>
    </xf>
    <xf numFmtId="2" fontId="0" fillId="0" borderId="0" xfId="0" applyNumberFormat="1"/>
    <xf numFmtId="2" fontId="10" fillId="0" borderId="0" xfId="0" applyNumberFormat="1" applyFont="1"/>
    <xf numFmtId="195" fontId="10" fillId="4" borderId="0" xfId="0" applyNumberFormat="1" applyFont="1" applyFill="1" applyAlignment="1">
      <alignment vertical="center"/>
    </xf>
    <xf numFmtId="195" fontId="10" fillId="4" borderId="1" xfId="0" applyNumberFormat="1" applyFont="1" applyFill="1" applyBorder="1" applyAlignment="1">
      <alignment vertical="center"/>
    </xf>
    <xf numFmtId="195" fontId="10" fillId="0" borderId="0" xfId="0" applyNumberFormat="1" applyFont="1" applyAlignment="1">
      <alignment vertical="center"/>
    </xf>
    <xf numFmtId="193" fontId="5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3" fillId="0" borderId="0" xfId="0" applyFont="1"/>
    <xf numFmtId="0" fontId="3" fillId="0" borderId="1" xfId="0" applyFont="1" applyBorder="1" applyAlignment="1">
      <alignment vertical="center" wrapText="1"/>
    </xf>
    <xf numFmtId="198" fontId="3" fillId="0" borderId="0" xfId="0" applyNumberFormat="1" applyFont="1" applyFill="1" applyBorder="1" applyAlignment="1">
      <alignment vertical="top"/>
    </xf>
    <xf numFmtId="2" fontId="10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4" borderId="0" xfId="0" applyFont="1" applyFill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203" fontId="10" fillId="0" borderId="0" xfId="0" applyNumberFormat="1" applyFont="1"/>
    <xf numFmtId="0" fontId="8" fillId="4" borderId="0" xfId="0" applyFont="1" applyFill="1" applyAlignment="1">
      <alignment vertical="center" wrapText="1"/>
    </xf>
    <xf numFmtId="2" fontId="4" fillId="4" borderId="0" xfId="0" applyNumberFormat="1" applyFont="1" applyFill="1" applyAlignment="1">
      <alignment horizontal="center" vertical="center" wrapText="1"/>
    </xf>
    <xf numFmtId="196" fontId="10" fillId="4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center" wrapText="1"/>
    </xf>
    <xf numFmtId="195" fontId="10" fillId="0" borderId="0" xfId="0" applyNumberFormat="1" applyFont="1"/>
    <xf numFmtId="0" fontId="4" fillId="0" borderId="1" xfId="0" applyFont="1" applyBorder="1" applyAlignment="1">
      <alignment vertical="center"/>
    </xf>
    <xf numFmtId="195" fontId="7" fillId="5" borderId="0" xfId="0" applyNumberFormat="1" applyFont="1" applyFill="1" applyBorder="1" applyAlignment="1">
      <alignment horizontal="center" vertical="center" wrapText="1"/>
    </xf>
    <xf numFmtId="2" fontId="7" fillId="5" borderId="0" xfId="0" applyNumberFormat="1" applyFont="1" applyFill="1" applyBorder="1" applyAlignment="1">
      <alignment horizontal="right" vertical="center" wrapText="1"/>
    </xf>
    <xf numFmtId="2" fontId="7" fillId="5" borderId="0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right"/>
    </xf>
    <xf numFmtId="4" fontId="20" fillId="4" borderId="14" xfId="3" applyNumberFormat="1" applyFont="1" applyFill="1" applyBorder="1" applyAlignment="1">
      <alignment horizontal="right" vertical="center"/>
    </xf>
    <xf numFmtId="2" fontId="10" fillId="4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205" fontId="10" fillId="4" borderId="1" xfId="0" applyNumberFormat="1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vertical="center" wrapText="1"/>
    </xf>
    <xf numFmtId="193" fontId="4" fillId="5" borderId="1" xfId="0" applyNumberFormat="1" applyFont="1" applyFill="1" applyBorder="1" applyAlignment="1">
      <alignment horizontal="right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195" fontId="10" fillId="4" borderId="0" xfId="0" applyNumberFormat="1" applyFont="1" applyFill="1" applyAlignment="1">
      <alignment horizontal="right" vertical="center"/>
    </xf>
    <xf numFmtId="193" fontId="4" fillId="0" borderId="1" xfId="0" applyNumberFormat="1" applyFont="1" applyBorder="1" applyAlignment="1">
      <alignment horizontal="center" vertical="center" wrapText="1"/>
    </xf>
    <xf numFmtId="193" fontId="4" fillId="6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right" vertical="center" wrapText="1"/>
    </xf>
    <xf numFmtId="196" fontId="10" fillId="0" borderId="0" xfId="0" applyNumberFormat="1" applyFont="1" applyAlignment="1">
      <alignment vertical="center"/>
    </xf>
    <xf numFmtId="2" fontId="3" fillId="5" borderId="1" xfId="0" applyNumberFormat="1" applyFont="1" applyFill="1" applyBorder="1" applyAlignment="1">
      <alignment vertical="center" wrapText="1"/>
    </xf>
    <xf numFmtId="196" fontId="4" fillId="5" borderId="1" xfId="0" applyNumberFormat="1" applyFont="1" applyFill="1" applyBorder="1" applyAlignment="1">
      <alignment horizontal="right" vertical="center" wrapText="1"/>
    </xf>
    <xf numFmtId="196" fontId="4" fillId="4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95" fontId="10" fillId="0" borderId="0" xfId="0" applyNumberFormat="1" applyFont="1" applyAlignment="1">
      <alignment horizontal="center" vertical="center"/>
    </xf>
    <xf numFmtId="2" fontId="10" fillId="4" borderId="0" xfId="0" applyNumberFormat="1" applyFont="1" applyFill="1" applyAlignment="1">
      <alignment horizontal="center" vertical="center"/>
    </xf>
    <xf numFmtId="196" fontId="10" fillId="0" borderId="0" xfId="0" applyNumberFormat="1" applyFont="1" applyAlignment="1">
      <alignment horizontal="center" vertical="center"/>
    </xf>
    <xf numFmtId="4" fontId="19" fillId="0" borderId="14" xfId="3" applyFill="1">
      <alignment horizontal="right" vertical="center"/>
    </xf>
    <xf numFmtId="193" fontId="11" fillId="0" borderId="1" xfId="0" applyNumberFormat="1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0" fillId="4" borderId="0" xfId="0" applyFont="1" applyFill="1" applyAlignment="1">
      <alignment horizontal="right" vertical="center" wrapText="1"/>
    </xf>
    <xf numFmtId="0" fontId="1" fillId="0" borderId="0" xfId="0" applyFont="1" applyAlignment="1">
      <alignment horizontal="left"/>
    </xf>
    <xf numFmtId="2" fontId="4" fillId="0" borderId="0" xfId="0" applyNumberFormat="1" applyFont="1" applyAlignment="1">
      <alignment horizontal="right" vertical="center"/>
    </xf>
    <xf numFmtId="2" fontId="16" fillId="6" borderId="4" xfId="0" applyNumberFormat="1" applyFont="1" applyFill="1" applyBorder="1" applyAlignment="1">
      <alignment horizontal="center" vertical="center"/>
    </xf>
    <xf numFmtId="2" fontId="16" fillId="6" borderId="5" xfId="0" applyNumberFormat="1" applyFont="1" applyFill="1" applyBorder="1" applyAlignment="1">
      <alignment horizontal="center" vertical="center"/>
    </xf>
    <xf numFmtId="2" fontId="16" fillId="6" borderId="6" xfId="0" applyNumberFormat="1" applyFont="1" applyFill="1" applyBorder="1" applyAlignment="1">
      <alignment horizontal="center" vertical="center"/>
    </xf>
    <xf numFmtId="2" fontId="16" fillId="0" borderId="7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2" fontId="16" fillId="4" borderId="4" xfId="0" applyNumberFormat="1" applyFont="1" applyFill="1" applyBorder="1" applyAlignment="1">
      <alignment horizontal="center" vertical="center"/>
    </xf>
    <xf numFmtId="2" fontId="16" fillId="4" borderId="5" xfId="0" applyNumberFormat="1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1" fontId="4" fillId="5" borderId="4" xfId="0" applyNumberFormat="1" applyFont="1" applyFill="1" applyBorder="1" applyAlignment="1">
      <alignment horizontal="center" vertical="center" wrapText="1"/>
    </xf>
    <xf numFmtId="1" fontId="4" fillId="5" borderId="6" xfId="0" applyNumberFormat="1" applyFont="1" applyFill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left" vertical="center"/>
    </xf>
    <xf numFmtId="2" fontId="10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0" fillId="4" borderId="0" xfId="0" applyFont="1" applyFill="1" applyAlignment="1">
      <alignment horizontal="right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4" borderId="0" xfId="0" applyFont="1" applyFill="1" applyAlignment="1">
      <alignment horizontal="right" vertical="top" wrapText="1"/>
    </xf>
    <xf numFmtId="0" fontId="3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98" fontId="3" fillId="4" borderId="0" xfId="0" applyNumberFormat="1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right" vertical="center" wrapText="1"/>
    </xf>
  </cellXfs>
  <cellStyles count="5">
    <cellStyle name="Normal" xfId="0" builtinId="0"/>
    <cellStyle name="Normal 2" xfId="1"/>
    <cellStyle name="Note 2" xfId="2"/>
    <cellStyle name="rgt_arm14_Money_900" xfId="3"/>
    <cellStyle name="Обыч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araq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378;&#1397;&#1400;&#1410;&#1403;&#1381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Ցանկ"/>
      <sheetName val="Лист1"/>
      <sheetName val="Лист2"/>
    </sheetNames>
    <sheetDataSet>
      <sheetData sheetId="0">
        <row r="9">
          <cell r="C9" t="str">
            <v>04716091</v>
          </cell>
        </row>
        <row r="10">
          <cell r="C10" t="str">
            <v>04445042</v>
          </cell>
        </row>
        <row r="11">
          <cell r="C11" t="str">
            <v>04724064</v>
          </cell>
        </row>
        <row r="12">
          <cell r="C12" t="str">
            <v>04723999</v>
          </cell>
        </row>
        <row r="13">
          <cell r="C13" t="str">
            <v>04716083</v>
          </cell>
        </row>
        <row r="14">
          <cell r="C14" t="str">
            <v>04723964</v>
          </cell>
        </row>
        <row r="15">
          <cell r="C15" t="str">
            <v>04724176</v>
          </cell>
        </row>
        <row r="16">
          <cell r="C16" t="str">
            <v>04723218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Sheet2"/>
      <sheetName val="Sheet3 "/>
      <sheetName val="Sheet4.5"/>
      <sheetName val="Sheet6"/>
    </sheetNames>
    <sheetDataSet>
      <sheetData sheetId="0" refreshError="1"/>
      <sheetData sheetId="1" refreshError="1"/>
      <sheetData sheetId="2" refreshError="1">
        <row r="23">
          <cell r="G23">
            <v>530864</v>
          </cell>
        </row>
        <row r="43">
          <cell r="G43">
            <v>95000</v>
          </cell>
        </row>
        <row r="59">
          <cell r="G59">
            <v>11990</v>
          </cell>
        </row>
        <row r="106">
          <cell r="G106">
            <v>1000</v>
          </cell>
        </row>
        <row r="109">
          <cell r="G109">
            <v>3000</v>
          </cell>
        </row>
        <row r="123">
          <cell r="G123">
            <v>0</v>
          </cell>
        </row>
        <row r="155">
          <cell r="G155">
            <v>177942</v>
          </cell>
        </row>
        <row r="158">
          <cell r="G158">
            <v>19890</v>
          </cell>
        </row>
        <row r="184">
          <cell r="G184">
            <v>40000</v>
          </cell>
        </row>
        <row r="224">
          <cell r="G224">
            <v>20000</v>
          </cell>
        </row>
        <row r="230">
          <cell r="G230">
            <v>70000</v>
          </cell>
        </row>
        <row r="304">
          <cell r="G304">
            <v>16000</v>
          </cell>
        </row>
        <row r="317">
          <cell r="G317">
            <v>300314</v>
          </cell>
        </row>
      </sheetData>
      <sheetData sheetId="3" refreshError="1">
        <row r="27">
          <cell r="E27">
            <v>400000</v>
          </cell>
        </row>
        <row r="28">
          <cell r="E28">
            <v>122142</v>
          </cell>
        </row>
        <row r="29">
          <cell r="E29">
            <v>16000</v>
          </cell>
        </row>
        <row r="40">
          <cell r="E40">
            <v>2000</v>
          </cell>
        </row>
        <row r="41">
          <cell r="E41">
            <v>52000</v>
          </cell>
        </row>
        <row r="42">
          <cell r="E42">
            <v>78100</v>
          </cell>
        </row>
        <row r="43">
          <cell r="E43">
            <v>3064</v>
          </cell>
        </row>
        <row r="44">
          <cell r="E44">
            <v>10000</v>
          </cell>
        </row>
        <row r="45">
          <cell r="E45">
            <v>11300</v>
          </cell>
        </row>
        <row r="49">
          <cell r="E49">
            <v>2000</v>
          </cell>
        </row>
        <row r="50">
          <cell r="E50">
            <v>5000</v>
          </cell>
        </row>
        <row r="54">
          <cell r="E54">
            <v>300</v>
          </cell>
        </row>
        <row r="55">
          <cell r="E55">
            <v>6000</v>
          </cell>
        </row>
        <row r="56">
          <cell r="E56">
            <v>7000</v>
          </cell>
        </row>
        <row r="57">
          <cell r="E57">
            <v>2000</v>
          </cell>
        </row>
        <row r="58">
          <cell r="E58">
            <v>4000</v>
          </cell>
        </row>
        <row r="59">
          <cell r="E59">
            <v>3000</v>
          </cell>
        </row>
        <row r="60">
          <cell r="E60">
            <v>15990</v>
          </cell>
        </row>
        <row r="61">
          <cell r="E61">
            <v>20000</v>
          </cell>
        </row>
        <row r="64">
          <cell r="E64">
            <v>17490</v>
          </cell>
        </row>
        <row r="67">
          <cell r="E67">
            <v>20000</v>
          </cell>
        </row>
        <row r="68">
          <cell r="E68">
            <v>8000</v>
          </cell>
        </row>
        <row r="71">
          <cell r="E71">
            <v>5000</v>
          </cell>
        </row>
        <row r="74">
          <cell r="E74">
            <v>13900</v>
          </cell>
        </row>
        <row r="77">
          <cell r="E77">
            <v>4000</v>
          </cell>
        </row>
        <row r="78">
          <cell r="E78">
            <v>38000</v>
          </cell>
        </row>
        <row r="98">
          <cell r="E98">
            <v>491688.7</v>
          </cell>
        </row>
        <row r="116">
          <cell r="E116">
            <v>15011.3</v>
          </cell>
        </row>
        <row r="130">
          <cell r="E130">
            <v>20000</v>
          </cell>
        </row>
        <row r="149">
          <cell r="E149">
            <v>16000</v>
          </cell>
        </row>
        <row r="158">
          <cell r="E158">
            <v>2000</v>
          </cell>
        </row>
        <row r="163">
          <cell r="E163">
            <v>6400</v>
          </cell>
        </row>
        <row r="180">
          <cell r="E180">
            <v>300314</v>
          </cell>
        </row>
        <row r="189">
          <cell r="F189">
            <v>880000</v>
          </cell>
        </row>
        <row r="190">
          <cell r="F190">
            <v>220000</v>
          </cell>
        </row>
        <row r="194">
          <cell r="F194">
            <v>50866.395000000004</v>
          </cell>
        </row>
        <row r="201">
          <cell r="F201">
            <v>22000</v>
          </cell>
        </row>
      </sheetData>
      <sheetData sheetId="4" refreshError="1"/>
      <sheetData sheetId="5" refreshError="1">
        <row r="437">
          <cell r="G437">
            <v>300</v>
          </cell>
        </row>
        <row r="464">
          <cell r="G464">
            <v>5011.3</v>
          </cell>
        </row>
        <row r="466">
          <cell r="G466">
            <v>2000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/>
  <dimension ref="A1:I59"/>
  <sheetViews>
    <sheetView zoomScaleNormal="100" workbookViewId="0">
      <selection activeCell="C2" sqref="C2:E2"/>
    </sheetView>
  </sheetViews>
  <sheetFormatPr defaultRowHeight="12.75"/>
  <cols>
    <col min="1" max="1" width="5.7109375" style="1" customWidth="1"/>
    <col min="2" max="2" width="37.5703125" style="1" customWidth="1"/>
    <col min="3" max="3" width="13.42578125" style="1" customWidth="1"/>
    <col min="4" max="4" width="15.5703125" style="1" customWidth="1"/>
    <col min="5" max="6" width="18.42578125" style="1" customWidth="1"/>
    <col min="7" max="7" width="12" style="1" customWidth="1"/>
    <col min="8" max="8" width="13.5703125" customWidth="1"/>
    <col min="9" max="9" width="13.42578125" customWidth="1"/>
  </cols>
  <sheetData>
    <row r="1" spans="1:9" ht="13.5">
      <c r="A1" s="6"/>
      <c r="B1" s="6"/>
      <c r="C1" s="6"/>
      <c r="D1" s="217" t="s">
        <v>132</v>
      </c>
      <c r="E1" s="217"/>
      <c r="F1" s="22"/>
    </row>
    <row r="2" spans="1:9" ht="58.5" customHeight="1">
      <c r="A2" s="6"/>
      <c r="B2" s="6"/>
      <c r="C2" s="218" t="s">
        <v>192</v>
      </c>
      <c r="D2" s="218"/>
      <c r="E2" s="218"/>
      <c r="F2" s="23"/>
    </row>
    <row r="3" spans="1:9" ht="30.75" customHeight="1">
      <c r="A3" s="10"/>
      <c r="B3" s="10"/>
      <c r="C3" s="10"/>
      <c r="D3" s="10"/>
      <c r="E3" s="10"/>
      <c r="F3" s="10"/>
      <c r="G3" s="2"/>
      <c r="H3" s="3"/>
    </row>
    <row r="4" spans="1:9" ht="47.25" customHeight="1">
      <c r="A4" s="216" t="s">
        <v>53</v>
      </c>
      <c r="B4" s="216"/>
      <c r="C4" s="216"/>
      <c r="D4" s="216"/>
      <c r="E4" s="216"/>
      <c r="F4" s="10"/>
    </row>
    <row r="5" spans="1:9" s="4" customFormat="1" ht="35.25" customHeight="1">
      <c r="A5" s="11"/>
      <c r="B5" s="13"/>
      <c r="C5" s="14"/>
      <c r="D5" s="15"/>
      <c r="E5" s="165" t="s">
        <v>54</v>
      </c>
      <c r="F5" s="10"/>
      <c r="G5" s="12"/>
    </row>
    <row r="6" spans="1:9" ht="71.25" customHeight="1">
      <c r="A6" s="166" t="s">
        <v>52</v>
      </c>
      <c r="B6" s="166" t="s">
        <v>55</v>
      </c>
      <c r="C6" s="166" t="s">
        <v>186</v>
      </c>
      <c r="D6" s="166" t="s">
        <v>187</v>
      </c>
      <c r="E6" s="166" t="s">
        <v>63</v>
      </c>
      <c r="F6" s="9"/>
    </row>
    <row r="7" spans="1:9" ht="15" customHeight="1">
      <c r="A7" s="167" t="s">
        <v>56</v>
      </c>
      <c r="B7" s="167"/>
      <c r="C7" s="168">
        <v>1</v>
      </c>
      <c r="D7" s="168">
        <v>2</v>
      </c>
      <c r="E7" s="169">
        <v>3</v>
      </c>
      <c r="F7" s="24"/>
      <c r="I7" s="170"/>
    </row>
    <row r="8" spans="1:9" ht="57" customHeight="1">
      <c r="A8" s="118">
        <v>1</v>
      </c>
      <c r="B8" s="171" t="s">
        <v>57</v>
      </c>
      <c r="C8" s="33">
        <v>90493.444000000003</v>
      </c>
      <c r="D8" s="33">
        <f>+D9+D10+D11+D12+D13+D14+D15+D16</f>
        <v>85512.031000000003</v>
      </c>
      <c r="E8" s="201">
        <v>0</v>
      </c>
      <c r="F8" s="25"/>
      <c r="G8" s="170"/>
      <c r="H8" s="17"/>
      <c r="I8" s="170"/>
    </row>
    <row r="9" spans="1:9" ht="57" hidden="1" customHeight="1">
      <c r="A9" s="118"/>
      <c r="B9" s="171" t="s">
        <v>85</v>
      </c>
      <c r="C9" s="33"/>
      <c r="D9" s="33">
        <f>54083.627+6484.944</f>
        <v>60568.571000000004</v>
      </c>
      <c r="E9" s="201"/>
      <c r="F9" s="25"/>
      <c r="G9" s="170"/>
      <c r="H9" s="17"/>
      <c r="I9" s="170"/>
    </row>
    <row r="10" spans="1:9" ht="57" hidden="1" customHeight="1">
      <c r="A10" s="118"/>
      <c r="B10" s="171" t="s">
        <v>86</v>
      </c>
      <c r="C10" s="33"/>
      <c r="D10" s="33">
        <v>616.923</v>
      </c>
      <c r="E10" s="201"/>
      <c r="F10" s="25"/>
      <c r="G10" s="170"/>
      <c r="H10" s="17"/>
      <c r="I10" s="170"/>
    </row>
    <row r="11" spans="1:9" ht="57" hidden="1" customHeight="1">
      <c r="A11" s="118"/>
      <c r="B11" s="171" t="s">
        <v>90</v>
      </c>
      <c r="C11" s="33"/>
      <c r="D11" s="33">
        <v>7582.6360000000004</v>
      </c>
      <c r="E11" s="201"/>
      <c r="F11" s="25"/>
      <c r="G11" s="170"/>
      <c r="H11" s="17"/>
      <c r="I11" s="170"/>
    </row>
    <row r="12" spans="1:9" ht="57" hidden="1" customHeight="1">
      <c r="A12" s="118"/>
      <c r="B12" s="171" t="s">
        <v>87</v>
      </c>
      <c r="C12" s="33"/>
      <c r="D12" s="33">
        <v>9647.4529999999995</v>
      </c>
      <c r="E12" s="201"/>
      <c r="F12" s="25"/>
      <c r="G12" s="170"/>
      <c r="H12" s="17"/>
      <c r="I12" s="170"/>
    </row>
    <row r="13" spans="1:9" ht="57" hidden="1" customHeight="1">
      <c r="A13" s="118"/>
      <c r="B13" s="171" t="s">
        <v>88</v>
      </c>
      <c r="C13" s="33"/>
      <c r="D13" s="33">
        <v>271.63900000000001</v>
      </c>
      <c r="E13" s="201"/>
      <c r="F13" s="25"/>
      <c r="G13" s="170"/>
      <c r="H13" s="17"/>
      <c r="I13" s="170"/>
    </row>
    <row r="14" spans="1:9" ht="57" hidden="1" customHeight="1">
      <c r="A14" s="118"/>
      <c r="B14" s="171" t="s">
        <v>89</v>
      </c>
      <c r="C14" s="33"/>
      <c r="D14" s="33">
        <v>1595</v>
      </c>
      <c r="E14" s="201"/>
      <c r="F14" s="25"/>
      <c r="G14" s="170"/>
      <c r="H14" s="17"/>
      <c r="I14" s="170"/>
    </row>
    <row r="15" spans="1:9" ht="57" hidden="1" customHeight="1">
      <c r="A15" s="118"/>
      <c r="B15" s="171" t="s">
        <v>91</v>
      </c>
      <c r="C15" s="33"/>
      <c r="D15" s="33">
        <v>1826.6179999999999</v>
      </c>
      <c r="E15" s="201"/>
      <c r="F15" s="25"/>
      <c r="G15" s="170"/>
      <c r="H15" s="17"/>
      <c r="I15" s="170"/>
    </row>
    <row r="16" spans="1:9" ht="57" hidden="1" customHeight="1">
      <c r="A16" s="118"/>
      <c r="B16" s="171" t="s">
        <v>92</v>
      </c>
      <c r="C16" s="33"/>
      <c r="D16" s="33">
        <v>3403.1909999999998</v>
      </c>
      <c r="E16" s="201"/>
      <c r="F16" s="25"/>
      <c r="G16" s="170"/>
      <c r="H16" s="17"/>
      <c r="I16" s="170"/>
    </row>
    <row r="17" spans="1:9" ht="37.5" customHeight="1">
      <c r="A17" s="118">
        <v>2</v>
      </c>
      <c r="B17" s="171" t="s">
        <v>58</v>
      </c>
      <c r="C17" s="33">
        <v>101550.673</v>
      </c>
      <c r="D17" s="33">
        <f>+D18+D19+D20+D21+D22+D23+D24+D25</f>
        <v>90245.154999999999</v>
      </c>
      <c r="E17" s="201">
        <v>0</v>
      </c>
      <c r="F17" s="25"/>
      <c r="G17" s="17"/>
      <c r="H17" s="17"/>
    </row>
    <row r="18" spans="1:9" ht="57" hidden="1" customHeight="1">
      <c r="A18" s="118"/>
      <c r="B18" s="171" t="s">
        <v>85</v>
      </c>
      <c r="C18" s="33"/>
      <c r="D18" s="33">
        <f>29656.816+712.022</f>
        <v>30368.838</v>
      </c>
      <c r="E18" s="201"/>
      <c r="F18" s="25"/>
      <c r="G18" s="170"/>
      <c r="H18" s="17"/>
      <c r="I18" s="170"/>
    </row>
    <row r="19" spans="1:9" ht="57" hidden="1" customHeight="1">
      <c r="A19" s="118"/>
      <c r="B19" s="171" t="s">
        <v>86</v>
      </c>
      <c r="C19" s="33"/>
      <c r="D19" s="33">
        <v>1501.646</v>
      </c>
      <c r="E19" s="201"/>
      <c r="F19" s="25"/>
      <c r="G19" s="170"/>
      <c r="H19" s="17"/>
      <c r="I19" s="170"/>
    </row>
    <row r="20" spans="1:9" ht="57" hidden="1" customHeight="1">
      <c r="A20" s="118"/>
      <c r="B20" s="171" t="s">
        <v>90</v>
      </c>
      <c r="C20" s="33"/>
      <c r="D20" s="33">
        <v>24145.963</v>
      </c>
      <c r="E20" s="201"/>
      <c r="F20" s="25"/>
      <c r="G20" s="170"/>
      <c r="H20" s="17"/>
      <c r="I20" s="170"/>
    </row>
    <row r="21" spans="1:9" ht="57" hidden="1" customHeight="1">
      <c r="A21" s="118"/>
      <c r="B21" s="171" t="s">
        <v>87</v>
      </c>
      <c r="C21" s="33"/>
      <c r="D21" s="33">
        <v>13309.594999999999</v>
      </c>
      <c r="E21" s="201"/>
      <c r="F21" s="25"/>
      <c r="G21" s="170"/>
      <c r="H21" s="17"/>
      <c r="I21" s="170"/>
    </row>
    <row r="22" spans="1:9" ht="57" hidden="1" customHeight="1">
      <c r="A22" s="118"/>
      <c r="B22" s="171" t="s">
        <v>88</v>
      </c>
      <c r="C22" s="33"/>
      <c r="D22" s="33">
        <v>3735.1329999999998</v>
      </c>
      <c r="E22" s="201"/>
      <c r="F22" s="25"/>
      <c r="G22" s="170"/>
      <c r="H22" s="17"/>
      <c r="I22" s="170"/>
    </row>
    <row r="23" spans="1:9" ht="57" hidden="1" customHeight="1">
      <c r="A23" s="118"/>
      <c r="B23" s="171" t="s">
        <v>89</v>
      </c>
      <c r="C23" s="33"/>
      <c r="D23" s="33">
        <v>678.42899999999997</v>
      </c>
      <c r="E23" s="201"/>
      <c r="F23" s="25"/>
      <c r="G23" s="170"/>
      <c r="H23" s="17"/>
      <c r="I23" s="170"/>
    </row>
    <row r="24" spans="1:9" ht="57" hidden="1" customHeight="1">
      <c r="A24" s="118"/>
      <c r="B24" s="171" t="s">
        <v>91</v>
      </c>
      <c r="C24" s="33"/>
      <c r="D24" s="33">
        <v>6679.1809999999996</v>
      </c>
      <c r="E24" s="201"/>
      <c r="F24" s="25"/>
      <c r="G24" s="170"/>
      <c r="H24" s="17"/>
      <c r="I24" s="170"/>
    </row>
    <row r="25" spans="1:9" ht="57" hidden="1" customHeight="1">
      <c r="A25" s="118"/>
      <c r="B25" s="171" t="s">
        <v>92</v>
      </c>
      <c r="C25" s="33"/>
      <c r="D25" s="33">
        <v>9826.3700000000008</v>
      </c>
      <c r="E25" s="201"/>
      <c r="F25" s="25"/>
      <c r="G25" s="170"/>
      <c r="H25" s="17"/>
      <c r="I25" s="170"/>
    </row>
    <row r="26" spans="1:9" ht="37.5" customHeight="1">
      <c r="A26" s="118">
        <v>3</v>
      </c>
      <c r="B26" s="171" t="s">
        <v>76</v>
      </c>
      <c r="C26" s="34">
        <v>62152</v>
      </c>
      <c r="D26" s="34">
        <f>+D27+D28+D29+D30+D31+D32+D33+D34</f>
        <v>92002.426999999996</v>
      </c>
      <c r="E26" s="34">
        <f>+E27+E28+E29+E30+E31+E32+E33+E34</f>
        <v>175012.03899999999</v>
      </c>
      <c r="F26" s="25"/>
      <c r="G26" s="17"/>
      <c r="H26" s="17"/>
    </row>
    <row r="27" spans="1:9" ht="57" hidden="1" customHeight="1">
      <c r="A27" s="118"/>
      <c r="B27" s="171" t="s">
        <v>85</v>
      </c>
      <c r="C27" s="33"/>
      <c r="D27" s="33">
        <f>29884.652+3242.488</f>
        <v>33127.14</v>
      </c>
      <c r="E27" s="201">
        <v>88407.792000000001</v>
      </c>
      <c r="F27" s="25"/>
      <c r="G27" s="170"/>
      <c r="H27" s="17"/>
      <c r="I27" s="170"/>
    </row>
    <row r="28" spans="1:9" ht="57" hidden="1" customHeight="1">
      <c r="A28" s="118"/>
      <c r="B28" s="171" t="s">
        <v>86</v>
      </c>
      <c r="C28" s="33"/>
      <c r="D28" s="33">
        <f>7381.453+775.563</f>
        <v>8157.0160000000005</v>
      </c>
      <c r="E28" s="201">
        <v>16936.421999999999</v>
      </c>
      <c r="F28" s="25"/>
      <c r="G28" s="170"/>
      <c r="H28" s="17"/>
      <c r="I28" s="170"/>
    </row>
    <row r="29" spans="1:9" ht="57" hidden="1" customHeight="1">
      <c r="A29" s="118"/>
      <c r="B29" s="171" t="s">
        <v>90</v>
      </c>
      <c r="C29" s="33"/>
      <c r="D29" s="33">
        <f>16266.894+971.32</f>
        <v>17238.214</v>
      </c>
      <c r="E29" s="201">
        <v>23783.421999999999</v>
      </c>
      <c r="F29" s="25"/>
      <c r="G29" s="170"/>
      <c r="H29" s="17"/>
      <c r="I29" s="170"/>
    </row>
    <row r="30" spans="1:9" ht="57" hidden="1" customHeight="1">
      <c r="A30" s="118"/>
      <c r="B30" s="171" t="s">
        <v>87</v>
      </c>
      <c r="C30" s="33"/>
      <c r="D30" s="33">
        <f>10526.281+1072.475</f>
        <v>11598.756000000001</v>
      </c>
      <c r="E30" s="201">
        <v>11307.035</v>
      </c>
      <c r="F30" s="25"/>
      <c r="G30" s="170"/>
      <c r="H30" s="17"/>
      <c r="I30" s="170"/>
    </row>
    <row r="31" spans="1:9" ht="57" hidden="1" customHeight="1">
      <c r="A31" s="118"/>
      <c r="B31" s="171" t="s">
        <v>88</v>
      </c>
      <c r="C31" s="33"/>
      <c r="D31" s="33">
        <f>675.542+3065.027</f>
        <v>3740.569</v>
      </c>
      <c r="E31" s="201">
        <v>8441.6010000000006</v>
      </c>
      <c r="F31" s="25"/>
      <c r="G31" s="170"/>
      <c r="H31" s="17"/>
      <c r="I31" s="170"/>
    </row>
    <row r="32" spans="1:9" ht="57" hidden="1" customHeight="1">
      <c r="A32" s="118"/>
      <c r="B32" s="171" t="s">
        <v>89</v>
      </c>
      <c r="C32" s="33"/>
      <c r="D32" s="33">
        <f>688.37+1119.284</f>
        <v>1807.654</v>
      </c>
      <c r="E32" s="201">
        <v>4626.9470000000001</v>
      </c>
      <c r="F32" s="25"/>
      <c r="G32" s="170"/>
      <c r="H32" s="17"/>
      <c r="I32" s="170"/>
    </row>
    <row r="33" spans="1:9" ht="57" hidden="1" customHeight="1">
      <c r="A33" s="118"/>
      <c r="B33" s="171" t="s">
        <v>91</v>
      </c>
      <c r="C33" s="33"/>
      <c r="D33" s="33">
        <f>7222.928+3678</f>
        <v>10900.928</v>
      </c>
      <c r="E33" s="201">
        <v>14883.891</v>
      </c>
      <c r="F33" s="25"/>
      <c r="G33" s="170"/>
      <c r="H33" s="17"/>
      <c r="I33" s="170"/>
    </row>
    <row r="34" spans="1:9" ht="57" hidden="1" customHeight="1">
      <c r="A34" s="118"/>
      <c r="B34" s="171" t="s">
        <v>92</v>
      </c>
      <c r="C34" s="33"/>
      <c r="D34" s="33">
        <f>246.725+5185.425</f>
        <v>5432.1500000000005</v>
      </c>
      <c r="E34" s="201">
        <v>6624.9290000000001</v>
      </c>
      <c r="F34" s="25"/>
      <c r="G34" s="170"/>
      <c r="H34" s="17"/>
      <c r="I34" s="170"/>
    </row>
    <row r="35" spans="1:9" ht="28.5" customHeight="1">
      <c r="A35" s="118">
        <v>4</v>
      </c>
      <c r="B35" s="171" t="s">
        <v>59</v>
      </c>
      <c r="C35" s="34">
        <f>87073+138154</f>
        <v>225227</v>
      </c>
      <c r="D35" s="34">
        <f>+D36+D37+D38+D39+D40+D41+D42+D43+D44</f>
        <v>184633.84009999997</v>
      </c>
      <c r="E35" s="34">
        <f>+E36+E37+E38+E39+E40+E41+E42+E43+E44</f>
        <v>262954.348</v>
      </c>
      <c r="F35" s="25"/>
      <c r="G35" s="170"/>
      <c r="H35" s="17"/>
      <c r="I35" s="170"/>
    </row>
    <row r="36" spans="1:9" ht="57" hidden="1" customHeight="1">
      <c r="A36" s="118"/>
      <c r="B36" s="171" t="s">
        <v>85</v>
      </c>
      <c r="C36" s="33"/>
      <c r="D36" s="33">
        <f>68638.991+35091.706+760.014</f>
        <v>104490.71099999998</v>
      </c>
      <c r="E36" s="201">
        <v>73105.285000000003</v>
      </c>
      <c r="F36" s="25"/>
      <c r="G36" s="170"/>
      <c r="H36" s="17"/>
      <c r="I36" s="170"/>
    </row>
    <row r="37" spans="1:9" ht="57" hidden="1" customHeight="1">
      <c r="A37" s="118"/>
      <c r="B37" s="171" t="s">
        <v>140</v>
      </c>
      <c r="C37" s="33"/>
      <c r="D37" s="33">
        <f>13708.23+34.855</f>
        <v>13743.084999999999</v>
      </c>
      <c r="E37" s="201">
        <v>35993.038999999997</v>
      </c>
      <c r="F37" s="25"/>
      <c r="G37" s="170"/>
      <c r="H37" s="17"/>
      <c r="I37" s="170"/>
    </row>
    <row r="38" spans="1:9" ht="57" hidden="1" customHeight="1">
      <c r="A38" s="118"/>
      <c r="B38" s="171" t="s">
        <v>86</v>
      </c>
      <c r="C38" s="33"/>
      <c r="D38" s="33">
        <v>16488.584999999999</v>
      </c>
      <c r="E38" s="201">
        <v>37927.608999999997</v>
      </c>
      <c r="F38" s="25"/>
      <c r="G38" s="170"/>
      <c r="H38" s="17"/>
      <c r="I38" s="170"/>
    </row>
    <row r="39" spans="1:9" ht="57" hidden="1" customHeight="1">
      <c r="A39" s="118"/>
      <c r="B39" s="171" t="s">
        <v>90</v>
      </c>
      <c r="C39" s="33"/>
      <c r="D39" s="33">
        <v>10061.269</v>
      </c>
      <c r="E39" s="201">
        <v>24097.278999999999</v>
      </c>
      <c r="F39" s="25"/>
      <c r="G39" s="170"/>
      <c r="H39" s="17"/>
      <c r="I39" s="170"/>
    </row>
    <row r="40" spans="1:9" ht="57" hidden="1" customHeight="1">
      <c r="A40" s="118"/>
      <c r="B40" s="171" t="s">
        <v>87</v>
      </c>
      <c r="C40" s="33"/>
      <c r="D40" s="33">
        <v>14385.307000000001</v>
      </c>
      <c r="E40" s="201">
        <v>25694.485000000001</v>
      </c>
      <c r="F40" s="25"/>
      <c r="G40" s="170"/>
      <c r="H40" s="17"/>
      <c r="I40" s="170"/>
    </row>
    <row r="41" spans="1:9" ht="57" hidden="1" customHeight="1">
      <c r="A41" s="118"/>
      <c r="B41" s="171" t="s">
        <v>88</v>
      </c>
      <c r="C41" s="33"/>
      <c r="D41" s="33">
        <v>5094.8729999999996</v>
      </c>
      <c r="E41" s="201">
        <v>20965.54</v>
      </c>
      <c r="F41" s="25"/>
      <c r="G41" s="170"/>
      <c r="H41" s="17"/>
      <c r="I41" s="170"/>
    </row>
    <row r="42" spans="1:9" ht="57" hidden="1" customHeight="1">
      <c r="A42" s="118"/>
      <c r="B42" s="171" t="s">
        <v>89</v>
      </c>
      <c r="C42" s="33"/>
      <c r="D42" s="33">
        <v>8750.7000000000007</v>
      </c>
      <c r="E42" s="201">
        <v>11301.120999999999</v>
      </c>
      <c r="F42" s="25"/>
      <c r="G42" s="170"/>
      <c r="H42" s="17"/>
      <c r="I42" s="170"/>
    </row>
    <row r="43" spans="1:9" ht="57" hidden="1" customHeight="1">
      <c r="A43" s="118"/>
      <c r="B43" s="171" t="s">
        <v>91</v>
      </c>
      <c r="C43" s="33"/>
      <c r="D43" s="33">
        <v>6831.3609999999999</v>
      </c>
      <c r="E43" s="201">
        <v>20186.870999999999</v>
      </c>
      <c r="F43" s="25"/>
      <c r="G43" s="170"/>
      <c r="H43" s="17"/>
      <c r="I43" s="170"/>
    </row>
    <row r="44" spans="1:9" ht="57" hidden="1" customHeight="1">
      <c r="A44" s="118"/>
      <c r="B44" s="171" t="s">
        <v>92</v>
      </c>
      <c r="C44" s="33"/>
      <c r="D44" s="33">
        <v>4787.9490999999998</v>
      </c>
      <c r="E44" s="201">
        <v>13683.119000000001</v>
      </c>
      <c r="F44" s="25"/>
      <c r="G44" s="170"/>
      <c r="H44" s="17"/>
      <c r="I44" s="170"/>
    </row>
    <row r="45" spans="1:9" ht="35.25" customHeight="1">
      <c r="A45" s="118">
        <v>5</v>
      </c>
      <c r="B45" s="171" t="s">
        <v>60</v>
      </c>
      <c r="C45" s="199"/>
      <c r="D45" s="199" t="s">
        <v>64</v>
      </c>
      <c r="E45" s="166" t="s">
        <v>61</v>
      </c>
      <c r="F45" s="9"/>
    </row>
    <row r="46" spans="1:9" ht="35.25" customHeight="1">
      <c r="A46" s="118">
        <v>6</v>
      </c>
      <c r="B46" s="171" t="s">
        <v>62</v>
      </c>
      <c r="C46" s="199" t="s">
        <v>64</v>
      </c>
      <c r="D46" s="199" t="s">
        <v>64</v>
      </c>
      <c r="E46" s="166" t="s">
        <v>61</v>
      </c>
      <c r="F46" s="9"/>
    </row>
    <row r="49" spans="1:7" ht="13.5">
      <c r="B49" s="1" t="s">
        <v>178</v>
      </c>
      <c r="D49" s="1" t="s">
        <v>177</v>
      </c>
      <c r="F49" s="172"/>
      <c r="G49" s="172"/>
    </row>
    <row r="51" spans="1:7">
      <c r="A51" s="219" t="s">
        <v>188</v>
      </c>
      <c r="B51" s="219"/>
    </row>
    <row r="59" spans="1:7" ht="27.75" customHeight="1"/>
  </sheetData>
  <mergeCells count="4">
    <mergeCell ref="A4:E4"/>
    <mergeCell ref="D1:E1"/>
    <mergeCell ref="C2:E2"/>
    <mergeCell ref="A51:B51"/>
  </mergeCells>
  <phoneticPr fontId="0" type="noConversion"/>
  <printOptions horizontalCentered="1"/>
  <pageMargins left="0.74803149606299213" right="0.27559055118110237" top="0.23622047244094491" bottom="0.23622047244094491" header="0.23622047244094491" footer="0.23622047244094491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"/>
  <dimension ref="A1:AD25"/>
  <sheetViews>
    <sheetView topLeftCell="R7" zoomScaleNormal="100" workbookViewId="0">
      <selection activeCell="AC19" sqref="AC19"/>
    </sheetView>
  </sheetViews>
  <sheetFormatPr defaultRowHeight="14.25"/>
  <cols>
    <col min="1" max="1" width="5.42578125" style="96" customWidth="1"/>
    <col min="2" max="2" width="30.28515625" style="101" customWidth="1"/>
    <col min="3" max="3" width="13" style="102" customWidth="1"/>
    <col min="4" max="4" width="13.5703125" style="102" customWidth="1"/>
    <col min="5" max="5" width="12.5703125" style="102" customWidth="1"/>
    <col min="6" max="6" width="11.5703125" style="103" customWidth="1"/>
    <col min="7" max="7" width="11.5703125" style="98" customWidth="1"/>
    <col min="8" max="8" width="13.140625" style="99" customWidth="1"/>
    <col min="9" max="9" width="11.7109375" style="99" customWidth="1"/>
    <col min="10" max="10" width="11.85546875" style="99" customWidth="1"/>
    <col min="11" max="11" width="15.85546875" style="99" customWidth="1"/>
    <col min="12" max="12" width="12.28515625" style="99" customWidth="1"/>
    <col min="13" max="13" width="16" style="99" customWidth="1"/>
    <col min="14" max="14" width="16.7109375" style="99" customWidth="1"/>
    <col min="15" max="15" width="13.28515625" style="99" customWidth="1"/>
    <col min="16" max="16" width="14.7109375" style="99" customWidth="1"/>
    <col min="17" max="17" width="17" style="99" customWidth="1"/>
    <col min="18" max="18" width="12" style="98" customWidth="1"/>
    <col min="19" max="20" width="15.5703125" style="99" customWidth="1"/>
    <col min="21" max="21" width="12.28515625" style="99" customWidth="1"/>
    <col min="22" max="22" width="15.5703125" style="99" customWidth="1"/>
    <col min="23" max="23" width="17.140625" style="99" customWidth="1"/>
    <col min="24" max="24" width="12.5703125" style="100" customWidth="1"/>
    <col min="25" max="25" width="14.5703125" style="99" customWidth="1"/>
    <col min="26" max="26" width="16.5703125" style="99" customWidth="1"/>
    <col min="27" max="27" width="12.85546875" style="99" customWidth="1"/>
    <col min="28" max="28" width="14.140625" style="99" customWidth="1"/>
    <col min="29" max="29" width="14" style="99" customWidth="1"/>
    <col min="30" max="30" width="13.28515625" style="76" customWidth="1"/>
    <col min="31" max="16384" width="9.140625" style="76"/>
  </cols>
  <sheetData>
    <row r="1" spans="1:29" ht="16.5">
      <c r="A1" s="73"/>
      <c r="B1" s="74"/>
      <c r="C1" s="75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</row>
    <row r="2" spans="1:29" ht="33" customHeight="1">
      <c r="A2" s="230" t="s">
        <v>111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</row>
    <row r="3" spans="1:29" ht="31.5" customHeight="1">
      <c r="A3" s="73" t="s">
        <v>114</v>
      </c>
      <c r="B3" s="74"/>
      <c r="C3" s="78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</row>
    <row r="4" spans="1:29" s="79" customFormat="1" ht="17.25" customHeight="1">
      <c r="A4" s="227"/>
      <c r="B4" s="225" t="s">
        <v>12</v>
      </c>
      <c r="C4" s="221" t="s">
        <v>85</v>
      </c>
      <c r="D4" s="222"/>
      <c r="E4" s="223"/>
      <c r="F4" s="221" t="s">
        <v>86</v>
      </c>
      <c r="G4" s="222"/>
      <c r="H4" s="223"/>
      <c r="I4" s="221" t="s">
        <v>87</v>
      </c>
      <c r="J4" s="222"/>
      <c r="K4" s="223"/>
      <c r="L4" s="221" t="s">
        <v>88</v>
      </c>
      <c r="M4" s="222"/>
      <c r="N4" s="223"/>
      <c r="O4" s="221" t="s">
        <v>89</v>
      </c>
      <c r="P4" s="222"/>
      <c r="Q4" s="223"/>
      <c r="R4" s="221" t="s">
        <v>90</v>
      </c>
      <c r="S4" s="222"/>
      <c r="T4" s="223"/>
      <c r="U4" s="221" t="s">
        <v>91</v>
      </c>
      <c r="V4" s="222"/>
      <c r="W4" s="223"/>
      <c r="X4" s="221" t="s">
        <v>92</v>
      </c>
      <c r="Y4" s="222"/>
      <c r="Z4" s="223"/>
      <c r="AA4" s="221" t="s">
        <v>113</v>
      </c>
      <c r="AB4" s="222"/>
      <c r="AC4" s="223"/>
    </row>
    <row r="5" spans="1:29" s="116" customFormat="1" ht="67.5" customHeight="1">
      <c r="A5" s="228"/>
      <c r="B5" s="226"/>
      <c r="C5" s="113" t="s">
        <v>74</v>
      </c>
      <c r="D5" s="113" t="s">
        <v>73</v>
      </c>
      <c r="E5" s="113" t="s">
        <v>72</v>
      </c>
      <c r="F5" s="113" t="s">
        <v>74</v>
      </c>
      <c r="G5" s="113" t="s">
        <v>73</v>
      </c>
      <c r="H5" s="113" t="s">
        <v>72</v>
      </c>
      <c r="I5" s="113" t="s">
        <v>74</v>
      </c>
      <c r="J5" s="113" t="s">
        <v>73</v>
      </c>
      <c r="K5" s="113" t="s">
        <v>72</v>
      </c>
      <c r="L5" s="113" t="s">
        <v>74</v>
      </c>
      <c r="M5" s="113" t="s">
        <v>73</v>
      </c>
      <c r="N5" s="113" t="s">
        <v>72</v>
      </c>
      <c r="O5" s="113" t="s">
        <v>74</v>
      </c>
      <c r="P5" s="113" t="s">
        <v>73</v>
      </c>
      <c r="Q5" s="113" t="s">
        <v>72</v>
      </c>
      <c r="R5" s="113" t="s">
        <v>74</v>
      </c>
      <c r="S5" s="113" t="s">
        <v>73</v>
      </c>
      <c r="T5" s="113" t="s">
        <v>72</v>
      </c>
      <c r="U5" s="113" t="s">
        <v>74</v>
      </c>
      <c r="V5" s="113" t="s">
        <v>73</v>
      </c>
      <c r="W5" s="113" t="s">
        <v>72</v>
      </c>
      <c r="X5" s="114" t="s">
        <v>74</v>
      </c>
      <c r="Y5" s="113" t="s">
        <v>73</v>
      </c>
      <c r="Z5" s="113" t="s">
        <v>72</v>
      </c>
      <c r="AA5" s="115" t="s">
        <v>74</v>
      </c>
      <c r="AB5" s="115" t="s">
        <v>73</v>
      </c>
      <c r="AC5" s="115" t="s">
        <v>72</v>
      </c>
    </row>
    <row r="6" spans="1:29" ht="35.25" customHeight="1">
      <c r="A6" s="80">
        <v>1</v>
      </c>
      <c r="B6" s="81" t="s">
        <v>0</v>
      </c>
      <c r="C6" s="66">
        <v>13440.205</v>
      </c>
      <c r="D6" s="66">
        <v>13500</v>
      </c>
      <c r="E6" s="66">
        <v>4000</v>
      </c>
      <c r="F6" s="82">
        <v>2365.3000000000002</v>
      </c>
      <c r="G6" s="41">
        <v>2150</v>
      </c>
      <c r="H6" s="41">
        <v>2000</v>
      </c>
      <c r="I6" s="66">
        <v>3117</v>
      </c>
      <c r="J6" s="66">
        <v>3900</v>
      </c>
      <c r="K6" s="66">
        <v>2000</v>
      </c>
      <c r="L6" s="66">
        <v>3310.8310000000001</v>
      </c>
      <c r="M6" s="66">
        <v>3100</v>
      </c>
      <c r="N6" s="66">
        <v>0</v>
      </c>
      <c r="O6" s="66">
        <v>206.5</v>
      </c>
      <c r="P6" s="66">
        <v>0</v>
      </c>
      <c r="Q6" s="66">
        <v>0</v>
      </c>
      <c r="R6" s="66">
        <v>3258.8</v>
      </c>
      <c r="S6" s="66">
        <v>5300</v>
      </c>
      <c r="T6" s="66">
        <v>1000</v>
      </c>
      <c r="U6" s="66">
        <v>5800</v>
      </c>
      <c r="V6" s="66">
        <v>5800</v>
      </c>
      <c r="W6" s="66">
        <v>2000</v>
      </c>
      <c r="X6" s="67">
        <v>5168.0360000000001</v>
      </c>
      <c r="Y6" s="66">
        <v>5000</v>
      </c>
      <c r="Z6" s="66">
        <v>700</v>
      </c>
      <c r="AA6" s="68">
        <f>+C6+F6+I6+L6+O6+R6+U6+X6</f>
        <v>36666.672000000006</v>
      </c>
      <c r="AB6" s="68">
        <f t="shared" ref="AB6:AC16" si="0">+D6+G6+J6+M6+P6+S6+V6+Y6</f>
        <v>38750</v>
      </c>
      <c r="AC6" s="68">
        <f t="shared" si="0"/>
        <v>11700</v>
      </c>
    </row>
    <row r="7" spans="1:29" ht="35.25" customHeight="1">
      <c r="A7" s="80">
        <v>2</v>
      </c>
      <c r="B7" s="81" t="s">
        <v>1</v>
      </c>
      <c r="C7" s="66">
        <v>43131.231</v>
      </c>
      <c r="D7" s="66">
        <v>51000</v>
      </c>
      <c r="E7" s="66">
        <v>12000</v>
      </c>
      <c r="F7" s="82">
        <f>28204-25520.7</f>
        <v>2683.2999999999993</v>
      </c>
      <c r="G7" s="41">
        <f>26200-23641.8</f>
        <v>2558.2000000000007</v>
      </c>
      <c r="H7" s="41">
        <v>8800</v>
      </c>
      <c r="I7" s="66">
        <v>13620.9</v>
      </c>
      <c r="J7" s="66">
        <v>14100</v>
      </c>
      <c r="K7" s="66">
        <v>2000</v>
      </c>
      <c r="L7" s="66">
        <v>1024.1790000000001</v>
      </c>
      <c r="M7" s="66">
        <f>13400-12600</f>
        <v>800</v>
      </c>
      <c r="N7" s="66">
        <v>0</v>
      </c>
      <c r="O7" s="66">
        <v>2140.1</v>
      </c>
      <c r="P7" s="66">
        <v>0</v>
      </c>
      <c r="Q7" s="66">
        <v>0</v>
      </c>
      <c r="R7" s="66"/>
      <c r="S7" s="66">
        <v>3400</v>
      </c>
      <c r="T7" s="66">
        <v>1000</v>
      </c>
      <c r="U7" s="66">
        <v>1800</v>
      </c>
      <c r="V7" s="66">
        <v>1800</v>
      </c>
      <c r="W7" s="66">
        <v>2000</v>
      </c>
      <c r="X7" s="67">
        <f>866.028</f>
        <v>866.02800000000002</v>
      </c>
      <c r="Y7" s="66">
        <v>700</v>
      </c>
      <c r="Z7" s="66">
        <v>1500</v>
      </c>
      <c r="AA7" s="68">
        <f t="shared" ref="AA7:AA16" si="1">+C7+F7+I7+L7+O7+R7+U7+X7</f>
        <v>65265.737999999998</v>
      </c>
      <c r="AB7" s="68">
        <f t="shared" si="0"/>
        <v>74358.2</v>
      </c>
      <c r="AC7" s="68">
        <f t="shared" si="0"/>
        <v>27300</v>
      </c>
    </row>
    <row r="8" spans="1:29" ht="35.25" customHeight="1">
      <c r="A8" s="80">
        <v>3</v>
      </c>
      <c r="B8" s="81" t="s">
        <v>76</v>
      </c>
      <c r="C8" s="66">
        <v>0</v>
      </c>
      <c r="D8" s="66">
        <v>0</v>
      </c>
      <c r="E8" s="66">
        <v>53000</v>
      </c>
      <c r="F8" s="66">
        <v>0</v>
      </c>
      <c r="G8" s="66">
        <v>0</v>
      </c>
      <c r="H8" s="66">
        <v>20000</v>
      </c>
      <c r="I8" s="66">
        <v>0</v>
      </c>
      <c r="J8" s="66">
        <v>0</v>
      </c>
      <c r="K8" s="66">
        <v>2000</v>
      </c>
      <c r="L8" s="66">
        <v>0</v>
      </c>
      <c r="M8" s="66">
        <v>0</v>
      </c>
      <c r="N8" s="66">
        <v>4000</v>
      </c>
      <c r="O8" s="66">
        <v>0</v>
      </c>
      <c r="P8" s="66">
        <v>2500</v>
      </c>
      <c r="Q8" s="66">
        <v>3500</v>
      </c>
      <c r="R8" s="66"/>
      <c r="S8" s="66"/>
      <c r="T8" s="66">
        <v>7000</v>
      </c>
      <c r="U8" s="66"/>
      <c r="V8" s="66"/>
      <c r="W8" s="66">
        <v>3600</v>
      </c>
      <c r="X8" s="67"/>
      <c r="Y8" s="66"/>
      <c r="Z8" s="66">
        <v>3500</v>
      </c>
      <c r="AA8" s="68">
        <f t="shared" si="1"/>
        <v>0</v>
      </c>
      <c r="AB8" s="68">
        <f t="shared" si="0"/>
        <v>2500</v>
      </c>
      <c r="AC8" s="68">
        <f t="shared" si="0"/>
        <v>96600</v>
      </c>
    </row>
    <row r="9" spans="1:29" ht="35.25" customHeight="1">
      <c r="A9" s="80">
        <v>4</v>
      </c>
      <c r="B9" s="81" t="s">
        <v>2</v>
      </c>
      <c r="C9" s="66">
        <v>54911.05</v>
      </c>
      <c r="D9" s="66">
        <v>42000</v>
      </c>
      <c r="E9" s="66">
        <v>80000</v>
      </c>
      <c r="F9" s="66">
        <v>25520.7</v>
      </c>
      <c r="G9" s="66">
        <v>23641.8</v>
      </c>
      <c r="H9" s="66">
        <v>29780</v>
      </c>
      <c r="I9" s="66">
        <v>0</v>
      </c>
      <c r="J9" s="66">
        <v>0</v>
      </c>
      <c r="K9" s="66">
        <v>20000</v>
      </c>
      <c r="L9" s="66">
        <v>9349.348</v>
      </c>
      <c r="M9" s="66">
        <v>12600</v>
      </c>
      <c r="N9" s="66">
        <v>15000</v>
      </c>
      <c r="O9" s="66">
        <v>7237.6</v>
      </c>
      <c r="P9" s="66">
        <v>10030</v>
      </c>
      <c r="Q9" s="66">
        <v>10030</v>
      </c>
      <c r="R9" s="66">
        <v>14207.6</v>
      </c>
      <c r="S9" s="66">
        <v>11500</v>
      </c>
      <c r="T9" s="66">
        <v>12000</v>
      </c>
      <c r="U9" s="66">
        <v>6500</v>
      </c>
      <c r="V9" s="66">
        <v>6500</v>
      </c>
      <c r="W9" s="66">
        <v>6500</v>
      </c>
      <c r="X9" s="83">
        <v>6393.38</v>
      </c>
      <c r="Y9" s="84">
        <v>4700</v>
      </c>
      <c r="Z9" s="84">
        <v>4700</v>
      </c>
      <c r="AA9" s="68">
        <f t="shared" si="1"/>
        <v>124119.67800000001</v>
      </c>
      <c r="AB9" s="68">
        <f t="shared" si="0"/>
        <v>110971.8</v>
      </c>
      <c r="AC9" s="68">
        <f t="shared" si="0"/>
        <v>178010</v>
      </c>
    </row>
    <row r="10" spans="1:29" ht="35.25" customHeight="1">
      <c r="A10" s="80">
        <v>5</v>
      </c>
      <c r="B10" s="81" t="s">
        <v>3</v>
      </c>
      <c r="C10" s="66">
        <v>12913.825000000001</v>
      </c>
      <c r="D10" s="66">
        <v>17000</v>
      </c>
      <c r="E10" s="66">
        <v>20000</v>
      </c>
      <c r="F10" s="41">
        <v>538</v>
      </c>
      <c r="G10" s="41">
        <v>345</v>
      </c>
      <c r="H10" s="66">
        <v>1000</v>
      </c>
      <c r="I10" s="66">
        <v>308.89999999999998</v>
      </c>
      <c r="J10" s="66">
        <v>1165</v>
      </c>
      <c r="K10" s="66">
        <v>1200</v>
      </c>
      <c r="L10" s="66">
        <v>726.1</v>
      </c>
      <c r="M10" s="66">
        <v>550.5</v>
      </c>
      <c r="N10" s="66">
        <v>1000</v>
      </c>
      <c r="O10" s="66">
        <v>426.7</v>
      </c>
      <c r="P10" s="66">
        <f>200+30+50</f>
        <v>280</v>
      </c>
      <c r="Q10" s="66">
        <v>320</v>
      </c>
      <c r="R10" s="66">
        <v>830</v>
      </c>
      <c r="S10" s="66">
        <v>709</v>
      </c>
      <c r="T10" s="66">
        <v>1000</v>
      </c>
      <c r="U10" s="66">
        <v>300</v>
      </c>
      <c r="V10" s="66">
        <v>300</v>
      </c>
      <c r="W10" s="66">
        <v>500</v>
      </c>
      <c r="X10" s="67">
        <v>215.3</v>
      </c>
      <c r="Y10" s="66">
        <v>175</v>
      </c>
      <c r="Z10" s="66">
        <v>170</v>
      </c>
      <c r="AA10" s="68">
        <f t="shared" si="1"/>
        <v>16258.825000000001</v>
      </c>
      <c r="AB10" s="68">
        <f t="shared" si="0"/>
        <v>20524.5</v>
      </c>
      <c r="AC10" s="68">
        <f t="shared" si="0"/>
        <v>25190</v>
      </c>
    </row>
    <row r="11" spans="1:29" ht="35.25" customHeight="1">
      <c r="A11" s="80">
        <v>6</v>
      </c>
      <c r="B11" s="81" t="s">
        <v>4</v>
      </c>
      <c r="C11" s="66">
        <v>38427.21</v>
      </c>
      <c r="D11" s="66">
        <v>31646.35</v>
      </c>
      <c r="E11" s="66">
        <v>98877.241599999994</v>
      </c>
      <c r="F11" s="41">
        <v>3683.2</v>
      </c>
      <c r="G11" s="41">
        <v>4040</v>
      </c>
      <c r="H11" s="66">
        <f>10753-1472.47</f>
        <v>9280.5300000000007</v>
      </c>
      <c r="I11" s="66">
        <v>4057.5</v>
      </c>
      <c r="J11" s="66">
        <v>7930</v>
      </c>
      <c r="K11" s="66">
        <v>2100.8977</v>
      </c>
      <c r="L11" s="66">
        <v>3558.078</v>
      </c>
      <c r="M11" s="66">
        <f>13070.9-270.9-1500</f>
        <v>11300</v>
      </c>
      <c r="N11" s="66">
        <v>10001.0576</v>
      </c>
      <c r="O11" s="66">
        <f>123.4+420.3+289.9</f>
        <v>833.6</v>
      </c>
      <c r="P11" s="66">
        <v>0</v>
      </c>
      <c r="Q11" s="66">
        <v>0</v>
      </c>
      <c r="R11" s="66">
        <f>3810.1-148.5</f>
        <v>3661.6</v>
      </c>
      <c r="S11" s="66">
        <v>4996.7</v>
      </c>
      <c r="T11" s="66">
        <v>5000</v>
      </c>
      <c r="U11" s="66"/>
      <c r="V11" s="66"/>
      <c r="W11" s="66">
        <v>6000</v>
      </c>
      <c r="X11" s="83">
        <v>9526.7999999999993</v>
      </c>
      <c r="Y11" s="84"/>
      <c r="Z11" s="66">
        <v>0</v>
      </c>
      <c r="AA11" s="68">
        <f t="shared" si="1"/>
        <v>63747.987999999998</v>
      </c>
      <c r="AB11" s="68">
        <f t="shared" si="0"/>
        <v>59913.049999999996</v>
      </c>
      <c r="AC11" s="68">
        <f t="shared" si="0"/>
        <v>131259.72690000001</v>
      </c>
    </row>
    <row r="12" spans="1:29" ht="35.25" customHeight="1">
      <c r="A12" s="80">
        <v>7</v>
      </c>
      <c r="B12" s="81" t="s">
        <v>6</v>
      </c>
      <c r="C12" s="66">
        <v>2038.8869999999999</v>
      </c>
      <c r="D12" s="66">
        <v>1200</v>
      </c>
      <c r="E12" s="66">
        <v>2000</v>
      </c>
      <c r="F12" s="41">
        <v>9361.2000000000007</v>
      </c>
      <c r="G12" s="41">
        <v>8749.7999999999993</v>
      </c>
      <c r="H12" s="66">
        <v>10000</v>
      </c>
      <c r="I12" s="66">
        <v>15</v>
      </c>
      <c r="J12" s="66">
        <v>51.3</v>
      </c>
      <c r="K12" s="66">
        <v>100</v>
      </c>
      <c r="L12" s="66">
        <v>270.13799999999998</v>
      </c>
      <c r="M12" s="66">
        <v>270.89999999999998</v>
      </c>
      <c r="N12" s="66">
        <v>300</v>
      </c>
      <c r="O12" s="66"/>
      <c r="P12" s="66">
        <f>420+90.4</f>
        <v>510.4</v>
      </c>
      <c r="Q12" s="66">
        <v>530</v>
      </c>
      <c r="R12" s="66">
        <v>122.5</v>
      </c>
      <c r="S12" s="66">
        <v>306.39999999999998</v>
      </c>
      <c r="T12" s="66">
        <v>300</v>
      </c>
      <c r="U12" s="66">
        <v>370</v>
      </c>
      <c r="V12" s="66">
        <v>370</v>
      </c>
      <c r="W12" s="66">
        <v>370</v>
      </c>
      <c r="X12" s="83">
        <v>763.24</v>
      </c>
      <c r="Y12" s="84">
        <v>960</v>
      </c>
      <c r="Z12" s="66">
        <v>1000</v>
      </c>
      <c r="AA12" s="68">
        <f t="shared" si="1"/>
        <v>12940.965000000002</v>
      </c>
      <c r="AB12" s="68">
        <f t="shared" si="0"/>
        <v>12418.799999999997</v>
      </c>
      <c r="AC12" s="68">
        <f t="shared" si="0"/>
        <v>14600</v>
      </c>
    </row>
    <row r="13" spans="1:29" ht="24" customHeight="1">
      <c r="A13" s="80">
        <v>8</v>
      </c>
      <c r="B13" s="85" t="s">
        <v>7</v>
      </c>
      <c r="C13" s="66">
        <v>14465.344000000001</v>
      </c>
      <c r="D13" s="66">
        <v>35267.599999999999</v>
      </c>
      <c r="E13" s="66">
        <v>35200</v>
      </c>
      <c r="F13" s="41">
        <f>5022.8+38.7</f>
        <v>5061.5</v>
      </c>
      <c r="G13" s="41">
        <v>6145</v>
      </c>
      <c r="H13" s="41">
        <v>8000</v>
      </c>
      <c r="I13" s="66">
        <v>0</v>
      </c>
      <c r="J13" s="66">
        <v>0</v>
      </c>
      <c r="K13" s="66">
        <v>8000</v>
      </c>
      <c r="L13" s="66">
        <v>1229.5</v>
      </c>
      <c r="M13" s="66">
        <v>1500</v>
      </c>
      <c r="N13" s="66">
        <f>3500+5000</f>
        <v>8500</v>
      </c>
      <c r="O13" s="66">
        <v>6012.4</v>
      </c>
      <c r="P13" s="66">
        <f>1500+4500</f>
        <v>6000</v>
      </c>
      <c r="Q13" s="66">
        <v>6017.4726000000001</v>
      </c>
      <c r="R13" s="66">
        <v>867.2</v>
      </c>
      <c r="S13" s="66">
        <v>3000</v>
      </c>
      <c r="T13" s="66">
        <v>9758.9393</v>
      </c>
      <c r="U13" s="66">
        <v>4500</v>
      </c>
      <c r="V13" s="66">
        <v>4500</v>
      </c>
      <c r="W13" s="66">
        <v>7685.4675999999999</v>
      </c>
      <c r="X13" s="86">
        <f>1218.61-0.1</f>
        <v>1218.51</v>
      </c>
      <c r="Y13" s="84">
        <v>1400</v>
      </c>
      <c r="Z13" s="84">
        <v>3028.3447999999999</v>
      </c>
      <c r="AA13" s="68">
        <f t="shared" si="1"/>
        <v>33354.453999999998</v>
      </c>
      <c r="AB13" s="68">
        <f t="shared" si="0"/>
        <v>57812.6</v>
      </c>
      <c r="AC13" s="68">
        <f t="shared" si="0"/>
        <v>86190.224300000002</v>
      </c>
    </row>
    <row r="14" spans="1:29" s="88" customFormat="1" ht="25.5" customHeight="1">
      <c r="A14" s="80">
        <v>9</v>
      </c>
      <c r="B14" s="87" t="s">
        <v>5</v>
      </c>
      <c r="C14" s="66">
        <v>112690.349</v>
      </c>
      <c r="D14" s="64">
        <v>123263.8</v>
      </c>
      <c r="E14" s="64" t="str">
        <f>+[1]Ցանկ!$C$16</f>
        <v>04723218</v>
      </c>
      <c r="F14" s="82">
        <v>77472.5</v>
      </c>
      <c r="G14" s="82">
        <v>94132</v>
      </c>
      <c r="H14" s="64" t="str">
        <f>+[1]Ցանկ!$C$12</f>
        <v>04723999</v>
      </c>
      <c r="I14" s="66">
        <v>62597.9</v>
      </c>
      <c r="J14" s="66">
        <v>69237.7</v>
      </c>
      <c r="K14" s="64" t="str">
        <f>+[1]Ցանկ!$C$14</f>
        <v>04723964</v>
      </c>
      <c r="L14" s="66">
        <v>54235.3</v>
      </c>
      <c r="M14" s="66">
        <v>63160.5</v>
      </c>
      <c r="N14" s="64" t="str">
        <f>+[1]Ցանկ!$C$11</f>
        <v>04724064</v>
      </c>
      <c r="O14" s="66">
        <v>34128.1</v>
      </c>
      <c r="P14" s="64">
        <v>34128.1</v>
      </c>
      <c r="Q14" s="64" t="str">
        <f>+[1]Ցանկ!$C$9</f>
        <v>04716091</v>
      </c>
      <c r="R14" s="66">
        <v>40713.199999999997</v>
      </c>
      <c r="S14" s="66">
        <v>49818.6</v>
      </c>
      <c r="T14" s="64" t="str">
        <f>+[1]Ցանկ!$C$13</f>
        <v>04716083</v>
      </c>
      <c r="U14" s="66">
        <v>28736.5</v>
      </c>
      <c r="V14" s="64">
        <v>32022</v>
      </c>
      <c r="W14" s="64" t="str">
        <f>+[1]Ցանկ!$C$15</f>
        <v>04724176</v>
      </c>
      <c r="X14" s="83">
        <v>38790.9</v>
      </c>
      <c r="Y14" s="84">
        <v>43838.6</v>
      </c>
      <c r="Z14" s="64" t="str">
        <f>+[1]Ցանկ!$C$10</f>
        <v>04445042</v>
      </c>
      <c r="AA14" s="68">
        <f t="shared" si="1"/>
        <v>449364.74900000001</v>
      </c>
      <c r="AB14" s="68">
        <f t="shared" si="0"/>
        <v>509601.29999999993</v>
      </c>
      <c r="AC14" s="68">
        <f t="shared" si="0"/>
        <v>37496637</v>
      </c>
    </row>
    <row r="15" spans="1:29" ht="47.25" customHeight="1">
      <c r="A15" s="80">
        <v>10</v>
      </c>
      <c r="B15" s="81" t="s">
        <v>71</v>
      </c>
      <c r="C15" s="64">
        <v>10968.6</v>
      </c>
      <c r="D15" s="64">
        <v>5122.25</v>
      </c>
      <c r="E15" s="64">
        <v>5122.25</v>
      </c>
      <c r="F15" s="64">
        <v>0</v>
      </c>
      <c r="G15" s="64">
        <v>0</v>
      </c>
      <c r="H15" s="64">
        <f>+H12-10000</f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/>
      <c r="Q15" s="64">
        <v>0</v>
      </c>
      <c r="R15" s="64"/>
      <c r="S15" s="64"/>
      <c r="T15" s="64">
        <v>0</v>
      </c>
      <c r="U15" s="64"/>
      <c r="V15" s="64"/>
      <c r="W15" s="64">
        <v>0</v>
      </c>
      <c r="X15" s="65"/>
      <c r="Y15" s="64"/>
      <c r="Z15" s="64">
        <v>0</v>
      </c>
      <c r="AA15" s="68">
        <f t="shared" si="1"/>
        <v>10968.6</v>
      </c>
      <c r="AB15" s="68">
        <f t="shared" si="0"/>
        <v>5122.25</v>
      </c>
      <c r="AC15" s="68">
        <f t="shared" si="0"/>
        <v>5122.25</v>
      </c>
    </row>
    <row r="16" spans="1:29" s="89" customFormat="1" ht="40.5" customHeight="1">
      <c r="A16" s="80">
        <v>11</v>
      </c>
      <c r="B16" s="85" t="s">
        <v>112</v>
      </c>
      <c r="C16" s="64">
        <v>0</v>
      </c>
      <c r="D16" s="64">
        <v>0</v>
      </c>
      <c r="E16" s="64">
        <v>0</v>
      </c>
      <c r="F16" s="64">
        <v>2064.6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2297.8000000000002</v>
      </c>
      <c r="M16" s="64">
        <v>6928.5</v>
      </c>
      <c r="N16" s="64">
        <v>0</v>
      </c>
      <c r="O16" s="64">
        <v>0</v>
      </c>
      <c r="P16" s="64"/>
      <c r="Q16" s="64"/>
      <c r="R16" s="64"/>
      <c r="S16" s="64"/>
      <c r="T16" s="64"/>
      <c r="U16" s="64"/>
      <c r="V16" s="64"/>
      <c r="W16" s="64"/>
      <c r="X16" s="65"/>
      <c r="Y16" s="64"/>
      <c r="Z16" s="64"/>
      <c r="AA16" s="68">
        <f t="shared" si="1"/>
        <v>4362.3999999999996</v>
      </c>
      <c r="AB16" s="68">
        <f t="shared" si="0"/>
        <v>6928.5</v>
      </c>
      <c r="AC16" s="68">
        <f t="shared" si="0"/>
        <v>0</v>
      </c>
    </row>
    <row r="17" spans="1:30" ht="35.25" customHeight="1">
      <c r="A17" s="80"/>
      <c r="B17" s="63" t="s">
        <v>8</v>
      </c>
      <c r="C17" s="69">
        <f>SUM(C6:C16)</f>
        <v>302986.701</v>
      </c>
      <c r="D17" s="69">
        <f>SUM(D6:D15)</f>
        <v>320000</v>
      </c>
      <c r="E17" s="69">
        <f>SUM(E6:E16)</f>
        <v>310199.49160000001</v>
      </c>
      <c r="F17" s="69">
        <f>SUM(F6:F16)</f>
        <v>128750.3</v>
      </c>
      <c r="G17" s="69">
        <f>SUM(G6:G16)</f>
        <v>141761.79999999999</v>
      </c>
      <c r="H17" s="69">
        <f>SUM(H6:H15)</f>
        <v>88860.53</v>
      </c>
      <c r="I17" s="69">
        <f t="shared" ref="I17:P17" si="2">SUM(I6:I16)</f>
        <v>83717.200000000012</v>
      </c>
      <c r="J17" s="69">
        <f t="shared" si="2"/>
        <v>96384</v>
      </c>
      <c r="K17" s="69">
        <f t="shared" si="2"/>
        <v>37400.897700000001</v>
      </c>
      <c r="L17" s="69">
        <f t="shared" si="2"/>
        <v>76001.274000000005</v>
      </c>
      <c r="M17" s="69">
        <f t="shared" si="2"/>
        <v>100210.4</v>
      </c>
      <c r="N17" s="69">
        <f t="shared" si="2"/>
        <v>38801.0576</v>
      </c>
      <c r="O17" s="69">
        <f t="shared" si="2"/>
        <v>50985</v>
      </c>
      <c r="P17" s="69">
        <f t="shared" si="2"/>
        <v>53448.5</v>
      </c>
      <c r="Q17" s="69">
        <f>SUM(Q6:Q15)</f>
        <v>20397.472600000001</v>
      </c>
      <c r="R17" s="69">
        <f>R6+R7+R8+R9+R10+R11+R14</f>
        <v>62671.199999999997</v>
      </c>
      <c r="S17" s="69">
        <f>SUM(S6:S15)</f>
        <v>79030.7</v>
      </c>
      <c r="T17" s="69">
        <f>SUM(T6:T15)</f>
        <v>37058.939299999998</v>
      </c>
      <c r="U17" s="69">
        <f>SUM(U6:U15)</f>
        <v>48006.5</v>
      </c>
      <c r="V17" s="69">
        <f>SUM(V6:V15)</f>
        <v>51292</v>
      </c>
      <c r="W17" s="69">
        <f>SUM(W6:W15)</f>
        <v>28655.4676</v>
      </c>
      <c r="X17" s="70">
        <f>SUM(X6:X16)</f>
        <v>62942.194000000003</v>
      </c>
      <c r="Y17" s="69">
        <f>SUM(Y6:Y15)</f>
        <v>56773.599999999999</v>
      </c>
      <c r="Z17" s="69">
        <f>SUM(Z6:Z15)</f>
        <v>14598.344799999999</v>
      </c>
      <c r="AA17" s="69">
        <f>SUM(AA6:AA16)</f>
        <v>817050.06900000013</v>
      </c>
      <c r="AB17" s="69">
        <f>SUM(AB6:AB16)</f>
        <v>898900.99999999988</v>
      </c>
      <c r="AC17" s="69">
        <f>SUM(AC6:AC16)</f>
        <v>38072609.201200001</v>
      </c>
      <c r="AD17" s="76">
        <f>+AC17-AC14-AC15</f>
        <v>570849.95120000094</v>
      </c>
    </row>
    <row r="18" spans="1:30" ht="35.25" customHeight="1">
      <c r="A18" s="80">
        <v>12</v>
      </c>
      <c r="B18" s="85" t="s">
        <v>9</v>
      </c>
      <c r="C18" s="66">
        <v>61579.864000000001</v>
      </c>
      <c r="D18" s="66">
        <v>50028.383999999998</v>
      </c>
      <c r="E18" s="66">
        <f>200000+4024.3334+92231.6122</f>
        <v>296255.94559999998</v>
      </c>
      <c r="F18" s="66">
        <v>0</v>
      </c>
      <c r="G18" s="66">
        <v>0</v>
      </c>
      <c r="H18" s="66">
        <v>50000</v>
      </c>
      <c r="I18" s="66">
        <v>32932.1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4">
        <v>8973.2000000000007</v>
      </c>
      <c r="P18" s="66"/>
      <c r="Q18" s="66"/>
      <c r="R18" s="72"/>
      <c r="S18" s="66"/>
      <c r="T18" s="66"/>
      <c r="U18" s="66"/>
      <c r="V18" s="66"/>
      <c r="W18" s="66"/>
      <c r="X18" s="67"/>
      <c r="Y18" s="66"/>
      <c r="Z18" s="66"/>
      <c r="AA18" s="68">
        <f>+C18+F18+I18+L18+O18+R18+U18+X18</f>
        <v>103485.164</v>
      </c>
      <c r="AB18" s="68">
        <f t="shared" ref="AB18:AC21" si="3">+D18+G18+J18+M18+P18+S18+V18+Y18</f>
        <v>50028.383999999998</v>
      </c>
      <c r="AC18" s="68">
        <f t="shared" si="3"/>
        <v>346255.94559999998</v>
      </c>
    </row>
    <row r="19" spans="1:30" ht="96" customHeight="1">
      <c r="A19" s="80">
        <v>13</v>
      </c>
      <c r="B19" s="85" t="s">
        <v>75</v>
      </c>
      <c r="C19" s="66">
        <v>2200.5</v>
      </c>
      <c r="D19" s="66">
        <v>69980.600000000006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16387.5</v>
      </c>
      <c r="K19" s="66">
        <v>0</v>
      </c>
      <c r="L19" s="66">
        <v>11903.5</v>
      </c>
      <c r="M19" s="66">
        <v>0</v>
      </c>
      <c r="N19" s="66">
        <v>0</v>
      </c>
      <c r="O19" s="66"/>
      <c r="P19" s="66"/>
      <c r="Q19" s="66"/>
      <c r="R19" s="66"/>
      <c r="S19" s="66"/>
      <c r="T19" s="66"/>
      <c r="U19" s="66"/>
      <c r="V19" s="66"/>
      <c r="W19" s="66"/>
      <c r="X19" s="67"/>
      <c r="Y19" s="66"/>
      <c r="Z19" s="66">
        <v>57196.781999999999</v>
      </c>
      <c r="AA19" s="68">
        <f>+C19+F19+I19+L19+O19+R19+U19+X19</f>
        <v>14104</v>
      </c>
      <c r="AB19" s="68">
        <f t="shared" si="3"/>
        <v>86368.1</v>
      </c>
      <c r="AC19" s="68">
        <f t="shared" si="3"/>
        <v>57196.781999999999</v>
      </c>
      <c r="AD19" s="76">
        <v>63333</v>
      </c>
    </row>
    <row r="20" spans="1:30" ht="35.25" customHeight="1">
      <c r="A20" s="80">
        <v>14</v>
      </c>
      <c r="B20" s="85" t="s">
        <v>10</v>
      </c>
      <c r="C20" s="66">
        <v>44356.866000000002</v>
      </c>
      <c r="D20" s="66">
        <v>111971.61599999999</v>
      </c>
      <c r="E20" s="66">
        <v>365975.66639999999</v>
      </c>
      <c r="F20" s="66">
        <v>0</v>
      </c>
      <c r="G20" s="66">
        <v>0</v>
      </c>
      <c r="H20" s="66">
        <v>46886.027999999998</v>
      </c>
      <c r="I20" s="66">
        <v>7753.2</v>
      </c>
      <c r="J20" s="66">
        <v>54057.1</v>
      </c>
      <c r="K20" s="66">
        <v>62938.205000000002</v>
      </c>
      <c r="L20" s="66">
        <v>0</v>
      </c>
      <c r="M20" s="66">
        <v>0</v>
      </c>
      <c r="N20" s="66">
        <v>37663</v>
      </c>
      <c r="O20" s="66">
        <v>5060.1000000000004</v>
      </c>
      <c r="P20" s="66"/>
      <c r="Q20" s="66">
        <v>10760</v>
      </c>
      <c r="R20" s="66"/>
      <c r="S20" s="66"/>
      <c r="T20" s="66">
        <v>24494.855</v>
      </c>
      <c r="U20" s="66"/>
      <c r="V20" s="66"/>
      <c r="W20" s="66">
        <v>10495.9</v>
      </c>
      <c r="X20" s="67"/>
      <c r="Y20" s="66"/>
      <c r="Z20" s="66">
        <v>17530.400000000001</v>
      </c>
      <c r="AA20" s="68">
        <f>+C20+F20+I20+L20+O20+R20+U20+X20</f>
        <v>57170.165999999997</v>
      </c>
      <c r="AB20" s="68">
        <f t="shared" si="3"/>
        <v>166028.71599999999</v>
      </c>
      <c r="AC20" s="68">
        <f t="shared" si="3"/>
        <v>576744.05440000002</v>
      </c>
    </row>
    <row r="21" spans="1:30" ht="35.25" customHeight="1">
      <c r="A21" s="80"/>
      <c r="B21" s="90" t="s">
        <v>11</v>
      </c>
      <c r="C21" s="69">
        <f>+C17+C18+C19+C20</f>
        <v>411123.93099999998</v>
      </c>
      <c r="D21" s="69">
        <f t="shared" ref="D21:Z21" si="4">+D17+D18+D19+D20</f>
        <v>551980.60000000009</v>
      </c>
      <c r="E21" s="69">
        <f t="shared" si="4"/>
        <v>972431.10360000003</v>
      </c>
      <c r="F21" s="69">
        <f t="shared" si="4"/>
        <v>128750.3</v>
      </c>
      <c r="G21" s="69">
        <f t="shared" si="4"/>
        <v>141761.79999999999</v>
      </c>
      <c r="H21" s="69">
        <f t="shared" si="4"/>
        <v>185746.55799999999</v>
      </c>
      <c r="I21" s="69">
        <f t="shared" si="4"/>
        <v>124402.50000000001</v>
      </c>
      <c r="J21" s="69">
        <f t="shared" si="4"/>
        <v>166828.6</v>
      </c>
      <c r="K21" s="69">
        <f>+K17+K18+K19+K20</f>
        <v>100339.1027</v>
      </c>
      <c r="L21" s="69">
        <f>+L17+L18+L19+L20</f>
        <v>87904.774000000005</v>
      </c>
      <c r="M21" s="69">
        <f t="shared" si="4"/>
        <v>100210.4</v>
      </c>
      <c r="N21" s="69">
        <f t="shared" si="4"/>
        <v>76464.0576</v>
      </c>
      <c r="O21" s="69">
        <f t="shared" si="4"/>
        <v>65018.299999999996</v>
      </c>
      <c r="P21" s="69">
        <f t="shared" si="4"/>
        <v>53448.5</v>
      </c>
      <c r="Q21" s="69">
        <f t="shared" si="4"/>
        <v>31157.472600000001</v>
      </c>
      <c r="R21" s="69">
        <f t="shared" si="4"/>
        <v>62671.199999999997</v>
      </c>
      <c r="S21" s="69">
        <f t="shared" si="4"/>
        <v>79030.7</v>
      </c>
      <c r="T21" s="69">
        <f t="shared" si="4"/>
        <v>61553.794299999994</v>
      </c>
      <c r="U21" s="69">
        <f t="shared" si="4"/>
        <v>48006.5</v>
      </c>
      <c r="V21" s="69">
        <f t="shared" si="4"/>
        <v>51292</v>
      </c>
      <c r="W21" s="69">
        <f t="shared" si="4"/>
        <v>39151.367599999998</v>
      </c>
      <c r="X21" s="70">
        <f t="shared" si="4"/>
        <v>62942.194000000003</v>
      </c>
      <c r="Y21" s="69">
        <f t="shared" si="4"/>
        <v>56773.599999999999</v>
      </c>
      <c r="Z21" s="69">
        <f t="shared" si="4"/>
        <v>89325.526799999992</v>
      </c>
      <c r="AA21" s="69">
        <f>+C21+F21+I21+L21+O21+R21+U21+X21</f>
        <v>990819.69900000002</v>
      </c>
      <c r="AB21" s="69">
        <f t="shared" si="3"/>
        <v>1201326.2000000002</v>
      </c>
      <c r="AC21" s="69">
        <f t="shared" si="3"/>
        <v>1556168.9831999997</v>
      </c>
    </row>
    <row r="22" spans="1:30" ht="16.5">
      <c r="A22" s="91"/>
      <c r="B22" s="92" t="s">
        <v>69</v>
      </c>
      <c r="C22" s="93">
        <f t="shared" ref="C22:AB22" si="5">+C21-C20-C14-C15</f>
        <v>243108.11600000001</v>
      </c>
      <c r="D22" s="93">
        <f t="shared" si="5"/>
        <v>311622.93400000012</v>
      </c>
      <c r="E22" s="93">
        <f>+E21-E20-E14-E15</f>
        <v>-4121884.8128</v>
      </c>
      <c r="F22" s="64">
        <f t="shared" si="5"/>
        <v>51277.8</v>
      </c>
      <c r="G22" s="64">
        <f t="shared" si="5"/>
        <v>47629.799999999988</v>
      </c>
      <c r="H22" s="93">
        <f t="shared" si="5"/>
        <v>-4585138.47</v>
      </c>
      <c r="I22" s="93">
        <f t="shared" si="5"/>
        <v>54051.400000000016</v>
      </c>
      <c r="J22" s="93">
        <f t="shared" si="5"/>
        <v>43533.8</v>
      </c>
      <c r="K22" s="93">
        <f>+K21-K20-K14-K15</f>
        <v>-4686563.1023000004</v>
      </c>
      <c r="L22" s="93">
        <f t="shared" si="5"/>
        <v>33669.474000000002</v>
      </c>
      <c r="M22" s="93">
        <f t="shared" si="5"/>
        <v>37049.899999999994</v>
      </c>
      <c r="N22" s="93">
        <f t="shared" si="5"/>
        <v>-4685262.9424000001</v>
      </c>
      <c r="O22" s="93">
        <f>+O21-O20-O14-O18</f>
        <v>16856.899999999998</v>
      </c>
      <c r="P22" s="93">
        <f t="shared" si="5"/>
        <v>19320.400000000001</v>
      </c>
      <c r="Q22" s="93">
        <f t="shared" si="5"/>
        <v>-4695693.5274</v>
      </c>
      <c r="R22" s="64">
        <f t="shared" si="5"/>
        <v>21958</v>
      </c>
      <c r="S22" s="93">
        <f t="shared" si="5"/>
        <v>29212.1</v>
      </c>
      <c r="T22" s="93">
        <f t="shared" si="5"/>
        <v>-4679024.0607000003</v>
      </c>
      <c r="U22" s="93">
        <f t="shared" si="5"/>
        <v>19270</v>
      </c>
      <c r="V22" s="93">
        <f t="shared" si="5"/>
        <v>19270</v>
      </c>
      <c r="W22" s="93">
        <f t="shared" si="5"/>
        <v>-4695520.5323999999</v>
      </c>
      <c r="X22" s="94">
        <f t="shared" si="5"/>
        <v>24151.294000000002</v>
      </c>
      <c r="Y22" s="93">
        <f t="shared" si="5"/>
        <v>12935</v>
      </c>
      <c r="Z22" s="93">
        <f t="shared" si="5"/>
        <v>-4373246.8732000003</v>
      </c>
      <c r="AA22" s="95">
        <f>+AA21-AA20-AA14-AA15</f>
        <v>473316.18400000007</v>
      </c>
      <c r="AB22" s="95">
        <f t="shared" si="5"/>
        <v>520573.93400000024</v>
      </c>
      <c r="AC22" s="95">
        <f>+AC21-AC20-AC14-AC15</f>
        <v>-36522334.321199998</v>
      </c>
    </row>
    <row r="24" spans="1:30" ht="16.5">
      <c r="B24" s="97"/>
      <c r="C24" s="229"/>
      <c r="D24" s="229"/>
      <c r="E24" s="229"/>
      <c r="F24" s="229"/>
    </row>
    <row r="25" spans="1:30">
      <c r="C25" s="99"/>
      <c r="D25" s="99"/>
      <c r="E25" s="99"/>
      <c r="F25" s="98"/>
    </row>
  </sheetData>
  <mergeCells count="15">
    <mergeCell ref="B4:B5"/>
    <mergeCell ref="A4:A5"/>
    <mergeCell ref="C24:F24"/>
    <mergeCell ref="C4:E4"/>
    <mergeCell ref="F4:H4"/>
    <mergeCell ref="A2:AC2"/>
    <mergeCell ref="D1:AC1"/>
    <mergeCell ref="I4:K4"/>
    <mergeCell ref="L4:N4"/>
    <mergeCell ref="O4:Q4"/>
    <mergeCell ref="R4:T4"/>
    <mergeCell ref="U4:W4"/>
    <mergeCell ref="X4:Z4"/>
    <mergeCell ref="D3:AC3"/>
    <mergeCell ref="AA4:AC4"/>
  </mergeCells>
  <phoneticPr fontId="0" type="noConversion"/>
  <printOptions horizontalCentered="1"/>
  <pageMargins left="0.16" right="0.16" top="0.23622047244094499" bottom="0.23622047244094499" header="0.23622047244094499" footer="0.23622047244094499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opLeftCell="Q1" workbookViewId="0">
      <selection activeCell="AC13" activeCellId="1" sqref="AC15 AC13"/>
    </sheetView>
  </sheetViews>
  <sheetFormatPr defaultRowHeight="14.25"/>
  <cols>
    <col min="1" max="1" width="5.42578125" style="96" customWidth="1"/>
    <col min="2" max="2" width="43.5703125" style="101" customWidth="1"/>
    <col min="3" max="3" width="13" style="102" customWidth="1"/>
    <col min="4" max="4" width="13.5703125" style="102" customWidth="1"/>
    <col min="5" max="5" width="12.5703125" style="102" customWidth="1"/>
    <col min="6" max="6" width="11.5703125" style="103" customWidth="1"/>
    <col min="7" max="7" width="11.5703125" style="98" customWidth="1"/>
    <col min="8" max="8" width="13.140625" style="99" customWidth="1"/>
    <col min="9" max="9" width="11.7109375" style="99" customWidth="1"/>
    <col min="10" max="10" width="11.85546875" style="99" customWidth="1"/>
    <col min="11" max="11" width="12" style="99" customWidth="1"/>
    <col min="12" max="12" width="12.28515625" style="99" customWidth="1"/>
    <col min="13" max="13" width="12.7109375" style="99" customWidth="1"/>
    <col min="14" max="14" width="12.28515625" style="99" customWidth="1"/>
    <col min="15" max="15" width="11" style="99" customWidth="1"/>
    <col min="16" max="16" width="11.28515625" style="99" customWidth="1"/>
    <col min="17" max="17" width="11.7109375" style="99" customWidth="1"/>
    <col min="18" max="18" width="12" style="98" customWidth="1"/>
    <col min="19" max="19" width="13.28515625" style="99" customWidth="1"/>
    <col min="20" max="20" width="11.5703125" style="99" customWidth="1"/>
    <col min="21" max="21" width="12.28515625" style="99" customWidth="1"/>
    <col min="22" max="22" width="11.140625" style="99" customWidth="1"/>
    <col min="23" max="23" width="11.5703125" style="99" customWidth="1"/>
    <col min="24" max="24" width="12.5703125" style="100" customWidth="1"/>
    <col min="25" max="25" width="12.85546875" style="99" customWidth="1"/>
    <col min="26" max="26" width="10.5703125" style="99" customWidth="1"/>
    <col min="27" max="27" width="14.85546875" style="98" customWidth="1"/>
    <col min="28" max="28" width="15.85546875" style="98" customWidth="1"/>
    <col min="29" max="29" width="18.42578125" style="98" customWidth="1"/>
    <col min="30" max="30" width="13.28515625" style="76" customWidth="1"/>
    <col min="31" max="16384" width="9.140625" style="76"/>
  </cols>
  <sheetData>
    <row r="1" spans="1:29" customFormat="1" ht="18.75" customHeight="1">
      <c r="A1" s="6"/>
      <c r="B1" s="6"/>
      <c r="C1" s="6"/>
      <c r="D1" s="217" t="s">
        <v>115</v>
      </c>
      <c r="E1" s="217"/>
      <c r="F1" s="1"/>
      <c r="AA1" s="234" t="s">
        <v>115</v>
      </c>
      <c r="AB1" s="234"/>
      <c r="AC1" s="234"/>
    </row>
    <row r="2" spans="1:29" customFormat="1" ht="64.5" customHeight="1">
      <c r="A2" s="6"/>
      <c r="B2" s="6"/>
      <c r="C2" s="231" t="s">
        <v>116</v>
      </c>
      <c r="D2" s="231"/>
      <c r="E2" s="231"/>
      <c r="F2" s="1"/>
      <c r="AA2" s="232" t="s">
        <v>117</v>
      </c>
      <c r="AB2" s="233"/>
      <c r="AC2" s="233"/>
    </row>
    <row r="3" spans="1:29" ht="16.5">
      <c r="A3" s="73"/>
      <c r="B3" s="74"/>
      <c r="C3" s="75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</row>
    <row r="4" spans="1:29" ht="33" customHeight="1">
      <c r="A4" s="230" t="s">
        <v>111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</row>
    <row r="5" spans="1:29" ht="33" customHeight="1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s="79" customFormat="1" ht="17.25" customHeight="1">
      <c r="A6" s="227"/>
      <c r="B6" s="225" t="s">
        <v>12</v>
      </c>
      <c r="C6" s="221" t="s">
        <v>85</v>
      </c>
      <c r="D6" s="222"/>
      <c r="E6" s="223"/>
      <c r="F6" s="221" t="s">
        <v>86</v>
      </c>
      <c r="G6" s="222"/>
      <c r="H6" s="223"/>
      <c r="I6" s="221" t="s">
        <v>87</v>
      </c>
      <c r="J6" s="222"/>
      <c r="K6" s="223"/>
      <c r="L6" s="221" t="s">
        <v>88</v>
      </c>
      <c r="M6" s="222"/>
      <c r="N6" s="223"/>
      <c r="O6" s="221" t="s">
        <v>89</v>
      </c>
      <c r="P6" s="222"/>
      <c r="Q6" s="223"/>
      <c r="R6" s="221" t="s">
        <v>90</v>
      </c>
      <c r="S6" s="222"/>
      <c r="T6" s="223"/>
      <c r="U6" s="221" t="s">
        <v>91</v>
      </c>
      <c r="V6" s="222"/>
      <c r="W6" s="223"/>
      <c r="X6" s="221" t="s">
        <v>92</v>
      </c>
      <c r="Y6" s="222"/>
      <c r="Z6" s="223"/>
      <c r="AA6" s="236" t="s">
        <v>113</v>
      </c>
      <c r="AB6" s="237"/>
      <c r="AC6" s="238"/>
    </row>
    <row r="7" spans="1:29" s="79" customFormat="1" ht="67.5" customHeight="1">
      <c r="A7" s="228"/>
      <c r="B7" s="226"/>
      <c r="C7" s="32" t="s">
        <v>74</v>
      </c>
      <c r="D7" s="32" t="s">
        <v>73</v>
      </c>
      <c r="E7" s="32" t="s">
        <v>72</v>
      </c>
      <c r="F7" s="32" t="s">
        <v>74</v>
      </c>
      <c r="G7" s="32" t="s">
        <v>73</v>
      </c>
      <c r="H7" s="32" t="s">
        <v>72</v>
      </c>
      <c r="I7" s="32" t="s">
        <v>74</v>
      </c>
      <c r="J7" s="32" t="s">
        <v>73</v>
      </c>
      <c r="K7" s="32" t="s">
        <v>72</v>
      </c>
      <c r="L7" s="32" t="s">
        <v>74</v>
      </c>
      <c r="M7" s="32" t="s">
        <v>73</v>
      </c>
      <c r="N7" s="32" t="s">
        <v>72</v>
      </c>
      <c r="O7" s="32" t="s">
        <v>74</v>
      </c>
      <c r="P7" s="32" t="s">
        <v>73</v>
      </c>
      <c r="Q7" s="32" t="s">
        <v>72</v>
      </c>
      <c r="R7" s="32" t="s">
        <v>74</v>
      </c>
      <c r="S7" s="32" t="s">
        <v>73</v>
      </c>
      <c r="T7" s="32" t="s">
        <v>72</v>
      </c>
      <c r="U7" s="32" t="s">
        <v>74</v>
      </c>
      <c r="V7" s="32" t="s">
        <v>73</v>
      </c>
      <c r="W7" s="32" t="s">
        <v>72</v>
      </c>
      <c r="X7" s="30" t="s">
        <v>74</v>
      </c>
      <c r="Y7" s="32" t="s">
        <v>73</v>
      </c>
      <c r="Z7" s="32" t="s">
        <v>72</v>
      </c>
      <c r="AA7" s="32" t="s">
        <v>74</v>
      </c>
      <c r="AB7" s="32" t="s">
        <v>73</v>
      </c>
      <c r="AC7" s="32" t="s">
        <v>72</v>
      </c>
    </row>
    <row r="8" spans="1:29" ht="35.25" customHeight="1">
      <c r="A8" s="80">
        <v>1</v>
      </c>
      <c r="B8" s="81" t="s">
        <v>0</v>
      </c>
      <c r="C8" s="66">
        <v>13440.205</v>
      </c>
      <c r="D8" s="66">
        <v>13500</v>
      </c>
      <c r="E8" s="66">
        <v>4000</v>
      </c>
      <c r="F8" s="82">
        <v>2365.3000000000002</v>
      </c>
      <c r="G8" s="41">
        <v>2150</v>
      </c>
      <c r="H8" s="41">
        <v>2000</v>
      </c>
      <c r="I8" s="66">
        <v>3117</v>
      </c>
      <c r="J8" s="66">
        <v>3900</v>
      </c>
      <c r="K8" s="66">
        <v>2000</v>
      </c>
      <c r="L8" s="66">
        <v>3310.8310000000001</v>
      </c>
      <c r="M8" s="66">
        <v>3100</v>
      </c>
      <c r="N8" s="66">
        <v>0</v>
      </c>
      <c r="O8" s="66">
        <v>206.5</v>
      </c>
      <c r="P8" s="66">
        <v>0</v>
      </c>
      <c r="Q8" s="66">
        <v>0</v>
      </c>
      <c r="R8" s="66">
        <v>3258.8</v>
      </c>
      <c r="S8" s="66">
        <v>5300</v>
      </c>
      <c r="T8" s="66">
        <v>1000</v>
      </c>
      <c r="U8" s="66">
        <v>5800</v>
      </c>
      <c r="V8" s="66">
        <v>5800</v>
      </c>
      <c r="W8" s="66">
        <v>2000</v>
      </c>
      <c r="X8" s="67">
        <v>5168.0360000000001</v>
      </c>
      <c r="Y8" s="66">
        <v>5000</v>
      </c>
      <c r="Z8" s="66">
        <v>700</v>
      </c>
      <c r="AA8" s="66">
        <f>+C8+F8+I8+L8+O8+R8+U8+X8</f>
        <v>36666.672000000006</v>
      </c>
      <c r="AB8" s="66">
        <f t="shared" ref="AB8:AC18" si="0">+D8+G8+J8+M8+P8+S8+V8+Y8</f>
        <v>38750</v>
      </c>
      <c r="AC8" s="66">
        <f t="shared" si="0"/>
        <v>11700</v>
      </c>
    </row>
    <row r="9" spans="1:29" ht="35.25" customHeight="1">
      <c r="A9" s="80">
        <v>2</v>
      </c>
      <c r="B9" s="81" t="s">
        <v>1</v>
      </c>
      <c r="C9" s="66">
        <v>43131.231</v>
      </c>
      <c r="D9" s="66">
        <v>51000</v>
      </c>
      <c r="E9" s="66">
        <v>12000</v>
      </c>
      <c r="F9" s="82">
        <f>28204-25520.7</f>
        <v>2683.2999999999993</v>
      </c>
      <c r="G9" s="41">
        <f>26200-23641.8</f>
        <v>2558.2000000000007</v>
      </c>
      <c r="H9" s="41">
        <v>8800</v>
      </c>
      <c r="I9" s="66">
        <v>13620.9</v>
      </c>
      <c r="J9" s="66">
        <v>14100</v>
      </c>
      <c r="K9" s="66">
        <v>2000</v>
      </c>
      <c r="L9" s="66">
        <v>1024.1790000000001</v>
      </c>
      <c r="M9" s="66">
        <f>13400-12600</f>
        <v>800</v>
      </c>
      <c r="N9" s="66">
        <v>0</v>
      </c>
      <c r="O9" s="66">
        <v>2140.1</v>
      </c>
      <c r="P9" s="66">
        <v>0</v>
      </c>
      <c r="Q9" s="66">
        <v>0</v>
      </c>
      <c r="R9" s="71"/>
      <c r="S9" s="66">
        <v>3400</v>
      </c>
      <c r="T9" s="66">
        <v>1000</v>
      </c>
      <c r="U9" s="66">
        <v>1800</v>
      </c>
      <c r="V9" s="66">
        <v>1800</v>
      </c>
      <c r="W9" s="66">
        <v>2000</v>
      </c>
      <c r="X9" s="67">
        <f>866.028</f>
        <v>866.02800000000002</v>
      </c>
      <c r="Y9" s="66">
        <v>700</v>
      </c>
      <c r="Z9" s="66">
        <v>1500</v>
      </c>
      <c r="AA9" s="66">
        <f t="shared" ref="AA9:AA18" si="1">+C9+F9+I9+L9+O9+R9+U9+X9</f>
        <v>65265.737999999998</v>
      </c>
      <c r="AB9" s="66">
        <f t="shared" si="0"/>
        <v>74358.2</v>
      </c>
      <c r="AC9" s="66">
        <f t="shared" si="0"/>
        <v>27300</v>
      </c>
    </row>
    <row r="10" spans="1:29" ht="35.25" customHeight="1">
      <c r="A10" s="80">
        <v>3</v>
      </c>
      <c r="B10" s="81" t="s">
        <v>76</v>
      </c>
      <c r="C10" s="66">
        <v>0</v>
      </c>
      <c r="D10" s="66">
        <v>0</v>
      </c>
      <c r="E10" s="66">
        <v>53000</v>
      </c>
      <c r="F10" s="66">
        <v>0</v>
      </c>
      <c r="G10" s="66">
        <v>0</v>
      </c>
      <c r="H10" s="66">
        <v>20000</v>
      </c>
      <c r="I10" s="66">
        <v>0</v>
      </c>
      <c r="J10" s="66">
        <v>0</v>
      </c>
      <c r="K10" s="66">
        <v>2000</v>
      </c>
      <c r="L10" s="66">
        <v>0</v>
      </c>
      <c r="M10" s="66">
        <v>0</v>
      </c>
      <c r="N10" s="66">
        <v>4000</v>
      </c>
      <c r="O10" s="66">
        <v>0</v>
      </c>
      <c r="P10" s="66">
        <v>2500</v>
      </c>
      <c r="Q10" s="66">
        <v>3500</v>
      </c>
      <c r="R10" s="71"/>
      <c r="S10" s="66"/>
      <c r="T10" s="66">
        <v>7000</v>
      </c>
      <c r="U10" s="66"/>
      <c r="V10" s="66"/>
      <c r="W10" s="66">
        <v>3600</v>
      </c>
      <c r="X10" s="67"/>
      <c r="Y10" s="66"/>
      <c r="Z10" s="66">
        <v>3500</v>
      </c>
      <c r="AA10" s="66">
        <f t="shared" si="1"/>
        <v>0</v>
      </c>
      <c r="AB10" s="66">
        <f t="shared" si="0"/>
        <v>2500</v>
      </c>
      <c r="AC10" s="66">
        <f t="shared" si="0"/>
        <v>96600</v>
      </c>
    </row>
    <row r="11" spans="1:29" ht="35.25" customHeight="1">
      <c r="A11" s="80">
        <v>4</v>
      </c>
      <c r="B11" s="81" t="s">
        <v>2</v>
      </c>
      <c r="C11" s="66">
        <v>54911.05</v>
      </c>
      <c r="D11" s="66">
        <v>42000</v>
      </c>
      <c r="E11" s="66">
        <v>80000</v>
      </c>
      <c r="F11" s="66">
        <v>25520.7</v>
      </c>
      <c r="G11" s="66">
        <v>23641.8</v>
      </c>
      <c r="H11" s="66">
        <v>29780</v>
      </c>
      <c r="I11" s="66">
        <v>0</v>
      </c>
      <c r="J11" s="66">
        <v>0</v>
      </c>
      <c r="K11" s="66">
        <v>20000</v>
      </c>
      <c r="L11" s="66">
        <v>9349.348</v>
      </c>
      <c r="M11" s="66">
        <v>12600</v>
      </c>
      <c r="N11" s="66">
        <v>15000</v>
      </c>
      <c r="O11" s="66">
        <v>7237.6</v>
      </c>
      <c r="P11" s="66">
        <v>10030</v>
      </c>
      <c r="Q11" s="66">
        <v>10030</v>
      </c>
      <c r="R11" s="71">
        <v>14207.6</v>
      </c>
      <c r="S11" s="66">
        <v>11500</v>
      </c>
      <c r="T11" s="66">
        <v>12000</v>
      </c>
      <c r="U11" s="66">
        <v>6500</v>
      </c>
      <c r="V11" s="66">
        <v>6500</v>
      </c>
      <c r="W11" s="66">
        <v>6500</v>
      </c>
      <c r="X11" s="83">
        <v>6393.38</v>
      </c>
      <c r="Y11" s="84">
        <v>4700</v>
      </c>
      <c r="Z11" s="84">
        <v>4700</v>
      </c>
      <c r="AA11" s="66">
        <f t="shared" si="1"/>
        <v>124119.67800000001</v>
      </c>
      <c r="AB11" s="66">
        <f t="shared" si="0"/>
        <v>110971.8</v>
      </c>
      <c r="AC11" s="66">
        <f t="shared" si="0"/>
        <v>178010</v>
      </c>
    </row>
    <row r="12" spans="1:29" ht="35.25" customHeight="1">
      <c r="A12" s="80">
        <v>5</v>
      </c>
      <c r="B12" s="81" t="s">
        <v>3</v>
      </c>
      <c r="C12" s="66">
        <v>12913.825000000001</v>
      </c>
      <c r="D12" s="66">
        <v>17000</v>
      </c>
      <c r="E12" s="66">
        <v>20000</v>
      </c>
      <c r="F12" s="41">
        <v>538</v>
      </c>
      <c r="G12" s="41">
        <v>345</v>
      </c>
      <c r="H12" s="66">
        <v>1000</v>
      </c>
      <c r="I12" s="66">
        <v>308.89999999999998</v>
      </c>
      <c r="J12" s="66">
        <v>1165</v>
      </c>
      <c r="K12" s="66">
        <v>1200</v>
      </c>
      <c r="L12" s="66">
        <v>726.1</v>
      </c>
      <c r="M12" s="66">
        <v>550.5</v>
      </c>
      <c r="N12" s="66">
        <v>1000</v>
      </c>
      <c r="O12" s="66">
        <v>426.7</v>
      </c>
      <c r="P12" s="66">
        <f>200+30+50</f>
        <v>280</v>
      </c>
      <c r="Q12" s="66">
        <v>320</v>
      </c>
      <c r="R12" s="66">
        <v>830</v>
      </c>
      <c r="S12" s="66">
        <v>709</v>
      </c>
      <c r="T12" s="66">
        <v>1000</v>
      </c>
      <c r="U12" s="66">
        <v>300</v>
      </c>
      <c r="V12" s="66">
        <v>300</v>
      </c>
      <c r="W12" s="66">
        <v>500</v>
      </c>
      <c r="X12" s="67">
        <v>215.3</v>
      </c>
      <c r="Y12" s="66">
        <v>175</v>
      </c>
      <c r="Z12" s="66">
        <v>170</v>
      </c>
      <c r="AA12" s="66">
        <f t="shared" si="1"/>
        <v>16258.825000000001</v>
      </c>
      <c r="AB12" s="66">
        <f t="shared" si="0"/>
        <v>20524.5</v>
      </c>
      <c r="AC12" s="66">
        <f t="shared" si="0"/>
        <v>25190</v>
      </c>
    </row>
    <row r="13" spans="1:29" ht="35.25" customHeight="1">
      <c r="A13" s="80">
        <v>6</v>
      </c>
      <c r="B13" s="81" t="s">
        <v>4</v>
      </c>
      <c r="C13" s="66">
        <v>38427.21</v>
      </c>
      <c r="D13" s="66">
        <v>31646.35</v>
      </c>
      <c r="E13" s="66">
        <f>98877.2416-372.47</f>
        <v>98504.771599999993</v>
      </c>
      <c r="F13" s="41">
        <v>3683.2</v>
      </c>
      <c r="G13" s="41">
        <v>4040</v>
      </c>
      <c r="H13" s="66">
        <v>10753</v>
      </c>
      <c r="I13" s="66">
        <v>4057.5</v>
      </c>
      <c r="J13" s="66">
        <v>7930</v>
      </c>
      <c r="K13" s="66">
        <v>2100.8977</v>
      </c>
      <c r="L13" s="66">
        <v>3558.078</v>
      </c>
      <c r="M13" s="66">
        <f>13070.9-270.9-1500</f>
        <v>11300</v>
      </c>
      <c r="N13" s="66">
        <v>10001.0576</v>
      </c>
      <c r="O13" s="66">
        <f>123.4+420.3+289.9</f>
        <v>833.6</v>
      </c>
      <c r="P13" s="66">
        <v>0</v>
      </c>
      <c r="Q13" s="66">
        <v>0</v>
      </c>
      <c r="R13" s="66">
        <f>3810.1-148.5</f>
        <v>3661.6</v>
      </c>
      <c r="S13" s="66">
        <v>4996.7</v>
      </c>
      <c r="T13" s="66">
        <v>5000</v>
      </c>
      <c r="U13" s="66"/>
      <c r="V13" s="66"/>
      <c r="W13" s="66">
        <v>6000</v>
      </c>
      <c r="X13" s="83">
        <v>9526.7999999999993</v>
      </c>
      <c r="Y13" s="84"/>
      <c r="Z13" s="66">
        <v>0</v>
      </c>
      <c r="AA13" s="66">
        <f t="shared" si="1"/>
        <v>63747.987999999998</v>
      </c>
      <c r="AB13" s="66">
        <f t="shared" si="0"/>
        <v>59913.049999999996</v>
      </c>
      <c r="AC13" s="66">
        <f t="shared" si="0"/>
        <v>132359.72690000001</v>
      </c>
    </row>
    <row r="14" spans="1:29" ht="35.25" customHeight="1">
      <c r="A14" s="80">
        <v>7</v>
      </c>
      <c r="B14" s="81" t="s">
        <v>6</v>
      </c>
      <c r="C14" s="66">
        <v>2038.8869999999999</v>
      </c>
      <c r="D14" s="66">
        <v>1200</v>
      </c>
      <c r="E14" s="66">
        <f>2000+372.47</f>
        <v>2372.4700000000003</v>
      </c>
      <c r="F14" s="41">
        <v>9361.2000000000007</v>
      </c>
      <c r="G14" s="41">
        <v>8749.7999999999993</v>
      </c>
      <c r="H14" s="66">
        <v>8527.5339999999997</v>
      </c>
      <c r="I14" s="66">
        <v>15</v>
      </c>
      <c r="J14" s="66">
        <v>51.3</v>
      </c>
      <c r="K14" s="66">
        <v>100</v>
      </c>
      <c r="L14" s="66">
        <v>270.13799999999998</v>
      </c>
      <c r="M14" s="66">
        <v>270.89999999999998</v>
      </c>
      <c r="N14" s="66">
        <v>300</v>
      </c>
      <c r="O14" s="66"/>
      <c r="P14" s="66">
        <f>420+90.4</f>
        <v>510.4</v>
      </c>
      <c r="Q14" s="66">
        <v>530</v>
      </c>
      <c r="R14" s="66">
        <v>122.5</v>
      </c>
      <c r="S14" s="66">
        <v>306.39999999999998</v>
      </c>
      <c r="T14" s="66">
        <v>300</v>
      </c>
      <c r="U14" s="66">
        <v>370</v>
      </c>
      <c r="V14" s="66">
        <v>370</v>
      </c>
      <c r="W14" s="66">
        <v>370</v>
      </c>
      <c r="X14" s="83">
        <v>763.24</v>
      </c>
      <c r="Y14" s="84">
        <v>960</v>
      </c>
      <c r="Z14" s="66">
        <v>1000</v>
      </c>
      <c r="AA14" s="66">
        <f t="shared" si="1"/>
        <v>12940.965000000002</v>
      </c>
      <c r="AB14" s="66">
        <f t="shared" si="0"/>
        <v>12418.799999999997</v>
      </c>
      <c r="AC14" s="66">
        <f t="shared" si="0"/>
        <v>13500.004000000001</v>
      </c>
    </row>
    <row r="15" spans="1:29" ht="30" customHeight="1">
      <c r="A15" s="80">
        <v>8</v>
      </c>
      <c r="B15" s="85" t="s">
        <v>7</v>
      </c>
      <c r="C15" s="66">
        <v>14465.344000000001</v>
      </c>
      <c r="D15" s="66">
        <v>35267.599999999999</v>
      </c>
      <c r="E15" s="66">
        <v>35200</v>
      </c>
      <c r="F15" s="41">
        <f>5022.8+38.7</f>
        <v>5061.5</v>
      </c>
      <c r="G15" s="41">
        <v>6145</v>
      </c>
      <c r="H15" s="41">
        <v>8000</v>
      </c>
      <c r="I15" s="66">
        <v>0</v>
      </c>
      <c r="J15" s="66">
        <v>0</v>
      </c>
      <c r="K15" s="66">
        <v>8000</v>
      </c>
      <c r="L15" s="66">
        <v>1229.5</v>
      </c>
      <c r="M15" s="66">
        <v>1500</v>
      </c>
      <c r="N15" s="66">
        <f>3500+5000</f>
        <v>8500</v>
      </c>
      <c r="O15" s="66">
        <v>6012.4</v>
      </c>
      <c r="P15" s="66">
        <f>1500+4500</f>
        <v>6000</v>
      </c>
      <c r="Q15" s="66">
        <v>6017.4726000000001</v>
      </c>
      <c r="R15" s="66">
        <v>867.2</v>
      </c>
      <c r="S15" s="66">
        <v>3000</v>
      </c>
      <c r="T15" s="66">
        <v>9758.9393</v>
      </c>
      <c r="U15" s="66">
        <v>4500</v>
      </c>
      <c r="V15" s="66">
        <v>4500</v>
      </c>
      <c r="W15" s="66">
        <v>7685.4675999999999</v>
      </c>
      <c r="X15" s="86">
        <f>1218.61-0.1</f>
        <v>1218.51</v>
      </c>
      <c r="Y15" s="84">
        <v>1400</v>
      </c>
      <c r="Z15" s="84">
        <v>3028.3447999999999</v>
      </c>
      <c r="AA15" s="66">
        <f t="shared" si="1"/>
        <v>33354.453999999998</v>
      </c>
      <c r="AB15" s="66">
        <f t="shared" si="0"/>
        <v>57812.6</v>
      </c>
      <c r="AC15" s="66">
        <f t="shared" si="0"/>
        <v>86190.224300000002</v>
      </c>
    </row>
    <row r="16" spans="1:29" s="88" customFormat="1" ht="36.75" customHeight="1">
      <c r="A16" s="80">
        <v>9</v>
      </c>
      <c r="B16" s="87" t="s">
        <v>5</v>
      </c>
      <c r="C16" s="66">
        <v>112690.349</v>
      </c>
      <c r="D16" s="64">
        <v>123263.8</v>
      </c>
      <c r="E16" s="64" t="str">
        <f>+[1]Ցանկ!$C$16</f>
        <v>04723218</v>
      </c>
      <c r="F16" s="82">
        <v>77472.5</v>
      </c>
      <c r="G16" s="82">
        <v>94132</v>
      </c>
      <c r="H16" s="64" t="str">
        <f>+[1]Ցանկ!$C$12</f>
        <v>04723999</v>
      </c>
      <c r="I16" s="66">
        <v>62597.9</v>
      </c>
      <c r="J16" s="66">
        <v>69237.7</v>
      </c>
      <c r="K16" s="64" t="str">
        <f>+[1]Ցանկ!$C$14</f>
        <v>04723964</v>
      </c>
      <c r="L16" s="66">
        <v>54235.3</v>
      </c>
      <c r="M16" s="66">
        <v>63160.5</v>
      </c>
      <c r="N16" s="64" t="str">
        <f>+[1]Ցանկ!$C$11</f>
        <v>04724064</v>
      </c>
      <c r="O16" s="66">
        <v>34128.1</v>
      </c>
      <c r="P16" s="64">
        <v>34128.1</v>
      </c>
      <c r="Q16" s="64" t="str">
        <f>+[1]Ցանկ!$C$9</f>
        <v>04716091</v>
      </c>
      <c r="R16" s="66">
        <v>40713.199999999997</v>
      </c>
      <c r="S16" s="66">
        <v>49818.6</v>
      </c>
      <c r="T16" s="64" t="str">
        <f>+[1]Ցանկ!$C$13</f>
        <v>04716083</v>
      </c>
      <c r="U16" s="66"/>
      <c r="V16" s="64"/>
      <c r="W16" s="64" t="str">
        <f>+[1]Ցանկ!$C$15</f>
        <v>04724176</v>
      </c>
      <c r="X16" s="83">
        <v>38790.9</v>
      </c>
      <c r="Y16" s="84">
        <v>43838.6</v>
      </c>
      <c r="Z16" s="64" t="str">
        <f>+[1]Ցանկ!$C$10</f>
        <v>04445042</v>
      </c>
      <c r="AA16" s="66">
        <f t="shared" si="1"/>
        <v>420628.24900000001</v>
      </c>
      <c r="AB16" s="66">
        <f t="shared" si="0"/>
        <v>477579.29999999993</v>
      </c>
      <c r="AC16" s="66">
        <f t="shared" si="0"/>
        <v>37496637</v>
      </c>
    </row>
    <row r="17" spans="1:30" ht="47.25" customHeight="1">
      <c r="A17" s="80">
        <v>10</v>
      </c>
      <c r="B17" s="81" t="s">
        <v>71</v>
      </c>
      <c r="C17" s="64">
        <v>10968.6</v>
      </c>
      <c r="D17" s="64">
        <v>5122.25</v>
      </c>
      <c r="E17" s="64">
        <v>5122.25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/>
      <c r="Q17" s="64">
        <v>0</v>
      </c>
      <c r="R17" s="64"/>
      <c r="S17" s="64"/>
      <c r="T17" s="64">
        <v>0</v>
      </c>
      <c r="U17" s="64"/>
      <c r="V17" s="64"/>
      <c r="W17" s="64">
        <v>0</v>
      </c>
      <c r="X17" s="65"/>
      <c r="Y17" s="64"/>
      <c r="Z17" s="64">
        <v>0</v>
      </c>
      <c r="AA17" s="66">
        <f t="shared" si="1"/>
        <v>10968.6</v>
      </c>
      <c r="AB17" s="66">
        <f t="shared" si="0"/>
        <v>5122.25</v>
      </c>
      <c r="AC17" s="66">
        <f t="shared" si="0"/>
        <v>5122.25</v>
      </c>
    </row>
    <row r="18" spans="1:30" s="89" customFormat="1" ht="40.5" customHeight="1">
      <c r="A18" s="80">
        <v>11</v>
      </c>
      <c r="B18" s="85" t="s">
        <v>112</v>
      </c>
      <c r="C18" s="64">
        <v>0</v>
      </c>
      <c r="D18" s="64">
        <v>0</v>
      </c>
      <c r="E18" s="64">
        <v>0</v>
      </c>
      <c r="F18" s="64">
        <v>2064.6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2297.8000000000002</v>
      </c>
      <c r="M18" s="64">
        <v>6928.5</v>
      </c>
      <c r="N18" s="64">
        <v>0</v>
      </c>
      <c r="O18" s="64">
        <v>0</v>
      </c>
      <c r="P18" s="64"/>
      <c r="Q18" s="64"/>
      <c r="R18" s="64"/>
      <c r="S18" s="64"/>
      <c r="T18" s="64"/>
      <c r="U18" s="64"/>
      <c r="V18" s="64"/>
      <c r="W18" s="64"/>
      <c r="X18" s="65"/>
      <c r="Y18" s="64"/>
      <c r="Z18" s="64"/>
      <c r="AA18" s="66">
        <f t="shared" si="1"/>
        <v>4362.3999999999996</v>
      </c>
      <c r="AB18" s="66">
        <f t="shared" si="0"/>
        <v>6928.5</v>
      </c>
      <c r="AC18" s="66">
        <f t="shared" si="0"/>
        <v>0</v>
      </c>
    </row>
    <row r="19" spans="1:30" ht="35.25" customHeight="1">
      <c r="A19" s="107"/>
      <c r="B19" s="104" t="s">
        <v>8</v>
      </c>
      <c r="C19" s="68">
        <f>SUM(C8:C18)</f>
        <v>302986.701</v>
      </c>
      <c r="D19" s="68">
        <f>SUM(D8:D17)</f>
        <v>320000</v>
      </c>
      <c r="E19" s="68">
        <f>SUM(E8:E18)</f>
        <v>310199.49159999995</v>
      </c>
      <c r="F19" s="68">
        <f>SUM(F8:F18)</f>
        <v>128750.3</v>
      </c>
      <c r="G19" s="68">
        <f>SUM(G8:G18)</f>
        <v>141761.79999999999</v>
      </c>
      <c r="H19" s="68">
        <f>SUM(H8:H17)</f>
        <v>88860.534</v>
      </c>
      <c r="I19" s="68">
        <f t="shared" ref="I19:P19" si="2">SUM(I8:I18)</f>
        <v>83717.200000000012</v>
      </c>
      <c r="J19" s="68">
        <f t="shared" si="2"/>
        <v>96384</v>
      </c>
      <c r="K19" s="68">
        <f t="shared" si="2"/>
        <v>37400.897700000001</v>
      </c>
      <c r="L19" s="68">
        <f t="shared" si="2"/>
        <v>76001.274000000005</v>
      </c>
      <c r="M19" s="68">
        <f t="shared" si="2"/>
        <v>100210.4</v>
      </c>
      <c r="N19" s="68">
        <f t="shared" si="2"/>
        <v>38801.0576</v>
      </c>
      <c r="O19" s="68">
        <f t="shared" si="2"/>
        <v>50985</v>
      </c>
      <c r="P19" s="68">
        <f t="shared" si="2"/>
        <v>53448.5</v>
      </c>
      <c r="Q19" s="68">
        <f>SUM(Q8:Q17)</f>
        <v>20397.472600000001</v>
      </c>
      <c r="R19" s="68">
        <f>R8+R9+R10+R11+R12+R13+R16</f>
        <v>62671.199999999997</v>
      </c>
      <c r="S19" s="68">
        <f>SUM(S8:S17)</f>
        <v>79030.7</v>
      </c>
      <c r="T19" s="68">
        <f>SUM(T8:T17)</f>
        <v>37058.939299999998</v>
      </c>
      <c r="U19" s="68">
        <f>SUM(U8:U17)</f>
        <v>19270</v>
      </c>
      <c r="V19" s="68">
        <f>SUM(V8:V17)</f>
        <v>19270</v>
      </c>
      <c r="W19" s="68">
        <f>SUM(W8:W17)</f>
        <v>28655.4676</v>
      </c>
      <c r="X19" s="105">
        <f>SUM(X8:X18)</f>
        <v>62942.194000000003</v>
      </c>
      <c r="Y19" s="68">
        <f>SUM(Y8:Y17)</f>
        <v>56773.599999999999</v>
      </c>
      <c r="Z19" s="68">
        <f>SUM(Z8:Z17)</f>
        <v>14598.344799999999</v>
      </c>
      <c r="AA19" s="68">
        <f>SUM(AA8:AA18)</f>
        <v>788313.56900000013</v>
      </c>
      <c r="AB19" s="68">
        <f>SUM(AB8:AB18)</f>
        <v>866878.99999999988</v>
      </c>
      <c r="AC19" s="68">
        <f>SUM(AC8:AC18)</f>
        <v>38072609.205200002</v>
      </c>
    </row>
    <row r="20" spans="1:30" ht="43.5" customHeight="1">
      <c r="A20" s="80">
        <v>12</v>
      </c>
      <c r="B20" s="85" t="s">
        <v>9</v>
      </c>
      <c r="C20" s="66">
        <v>61579.864000000001</v>
      </c>
      <c r="D20" s="66">
        <v>50028.383999999998</v>
      </c>
      <c r="E20" s="66">
        <f>200000+4024.3334+92231.6122+13691</f>
        <v>309946.94559999998</v>
      </c>
      <c r="F20" s="66">
        <v>0</v>
      </c>
      <c r="G20" s="66">
        <v>0</v>
      </c>
      <c r="H20" s="66">
        <v>50000</v>
      </c>
      <c r="I20" s="66">
        <v>32932.1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4">
        <v>8973.2000000000007</v>
      </c>
      <c r="P20" s="66"/>
      <c r="Q20" s="66"/>
      <c r="R20" s="72"/>
      <c r="S20" s="66"/>
      <c r="T20" s="66"/>
      <c r="U20" s="66"/>
      <c r="V20" s="66"/>
      <c r="W20" s="66"/>
      <c r="X20" s="67"/>
      <c r="Y20" s="66"/>
      <c r="Z20" s="66"/>
      <c r="AA20" s="66">
        <f>+C20+F20+I20+L20+O20+R20+U20+X20</f>
        <v>103485.164</v>
      </c>
      <c r="AB20" s="66">
        <f t="shared" ref="AB20:AC23" si="3">+D20+G20+J20+M20+P20+S20+V20+Y20</f>
        <v>50028.383999999998</v>
      </c>
      <c r="AC20" s="66">
        <f t="shared" si="3"/>
        <v>359946.94559999998</v>
      </c>
    </row>
    <row r="21" spans="1:30" ht="57.75" customHeight="1">
      <c r="A21" s="80">
        <v>13</v>
      </c>
      <c r="B21" s="85" t="s">
        <v>75</v>
      </c>
      <c r="C21" s="66">
        <v>2200.5</v>
      </c>
      <c r="D21" s="66">
        <v>69980.600000000006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16387.5</v>
      </c>
      <c r="K21" s="66">
        <v>0</v>
      </c>
      <c r="L21" s="66">
        <v>11903.5</v>
      </c>
      <c r="M21" s="66">
        <v>0</v>
      </c>
      <c r="N21" s="66">
        <v>0</v>
      </c>
      <c r="O21" s="66"/>
      <c r="P21" s="66"/>
      <c r="Q21" s="66"/>
      <c r="R21" s="66"/>
      <c r="S21" s="66"/>
      <c r="T21" s="66"/>
      <c r="U21" s="66"/>
      <c r="V21" s="66"/>
      <c r="W21" s="66"/>
      <c r="X21" s="67"/>
      <c r="Y21" s="66"/>
      <c r="Z21" s="66"/>
      <c r="AA21" s="66">
        <f>+C21+F21+I21+L21+O21+R21+U21+X21</f>
        <v>14104</v>
      </c>
      <c r="AB21" s="66">
        <f t="shared" si="3"/>
        <v>86368.1</v>
      </c>
      <c r="AC21" s="66">
        <f t="shared" si="3"/>
        <v>0</v>
      </c>
    </row>
    <row r="22" spans="1:30" ht="41.25" customHeight="1">
      <c r="A22" s="80">
        <v>14</v>
      </c>
      <c r="B22" s="85" t="s">
        <v>10</v>
      </c>
      <c r="C22" s="66">
        <v>44356.866000000002</v>
      </c>
      <c r="D22" s="66">
        <v>111971.61599999999</v>
      </c>
      <c r="E22" s="66">
        <f>365975.6664-13691</f>
        <v>352284.66639999999</v>
      </c>
      <c r="F22" s="66">
        <v>0</v>
      </c>
      <c r="G22" s="66">
        <v>0</v>
      </c>
      <c r="H22" s="66">
        <v>46886.027999999998</v>
      </c>
      <c r="I22" s="66">
        <v>7753.2</v>
      </c>
      <c r="J22" s="66">
        <v>54057.1</v>
      </c>
      <c r="K22" s="66">
        <v>62938.205000000002</v>
      </c>
      <c r="L22" s="66">
        <v>0</v>
      </c>
      <c r="M22" s="66">
        <v>0</v>
      </c>
      <c r="N22" s="66">
        <v>37663</v>
      </c>
      <c r="O22" s="66">
        <v>5060.1000000000004</v>
      </c>
      <c r="P22" s="66"/>
      <c r="Q22" s="66">
        <v>10760</v>
      </c>
      <c r="R22" s="66"/>
      <c r="S22" s="66"/>
      <c r="T22" s="66">
        <v>24494.855</v>
      </c>
      <c r="U22" s="66"/>
      <c r="V22" s="66"/>
      <c r="W22" s="66">
        <v>10495.9</v>
      </c>
      <c r="X22" s="67"/>
      <c r="Y22" s="66"/>
      <c r="Z22" s="66">
        <v>17530.400000000001</v>
      </c>
      <c r="AA22" s="66">
        <f>+C22+F22+I22+L22+O22+R22+U22+X22</f>
        <v>57170.165999999997</v>
      </c>
      <c r="AB22" s="66">
        <f t="shared" si="3"/>
        <v>166028.71599999999</v>
      </c>
      <c r="AC22" s="66">
        <f>+E22+H22+K22+N22+Q22+T22+W22+Z22</f>
        <v>563053.05440000002</v>
      </c>
      <c r="AD22" s="76">
        <v>-13691</v>
      </c>
    </row>
    <row r="23" spans="1:30" ht="35.25" customHeight="1">
      <c r="A23" s="107"/>
      <c r="B23" s="106" t="s">
        <v>11</v>
      </c>
      <c r="C23" s="68">
        <f>+C19+C20+C21+C22</f>
        <v>411123.93099999998</v>
      </c>
      <c r="D23" s="68">
        <f t="shared" ref="D23:Z23" si="4">+D19+D20+D21+D22</f>
        <v>551980.60000000009</v>
      </c>
      <c r="E23" s="68">
        <f t="shared" si="4"/>
        <v>972431.10359999991</v>
      </c>
      <c r="F23" s="68">
        <f t="shared" si="4"/>
        <v>128750.3</v>
      </c>
      <c r="G23" s="68">
        <f t="shared" si="4"/>
        <v>141761.79999999999</v>
      </c>
      <c r="H23" s="68">
        <f t="shared" si="4"/>
        <v>185746.56199999998</v>
      </c>
      <c r="I23" s="68">
        <f t="shared" si="4"/>
        <v>124402.50000000001</v>
      </c>
      <c r="J23" s="68">
        <f t="shared" si="4"/>
        <v>166828.6</v>
      </c>
      <c r="K23" s="68">
        <f>+K19+K20+K21+K22</f>
        <v>100339.1027</v>
      </c>
      <c r="L23" s="68">
        <f>+L19+L20+L21+L22</f>
        <v>87904.774000000005</v>
      </c>
      <c r="M23" s="68">
        <f t="shared" si="4"/>
        <v>100210.4</v>
      </c>
      <c r="N23" s="68">
        <f t="shared" si="4"/>
        <v>76464.0576</v>
      </c>
      <c r="O23" s="68">
        <f t="shared" si="4"/>
        <v>65018.299999999996</v>
      </c>
      <c r="P23" s="68">
        <f t="shared" si="4"/>
        <v>53448.5</v>
      </c>
      <c r="Q23" s="68">
        <f t="shared" si="4"/>
        <v>31157.472600000001</v>
      </c>
      <c r="R23" s="68">
        <f t="shared" si="4"/>
        <v>62671.199999999997</v>
      </c>
      <c r="S23" s="68">
        <f t="shared" si="4"/>
        <v>79030.7</v>
      </c>
      <c r="T23" s="68">
        <f t="shared" si="4"/>
        <v>61553.794299999994</v>
      </c>
      <c r="U23" s="68">
        <f t="shared" si="4"/>
        <v>19270</v>
      </c>
      <c r="V23" s="68">
        <f t="shared" si="4"/>
        <v>19270</v>
      </c>
      <c r="W23" s="68">
        <f t="shared" si="4"/>
        <v>39151.367599999998</v>
      </c>
      <c r="X23" s="105">
        <f t="shared" si="4"/>
        <v>62942.194000000003</v>
      </c>
      <c r="Y23" s="68">
        <f t="shared" si="4"/>
        <v>56773.599999999999</v>
      </c>
      <c r="Z23" s="68">
        <f t="shared" si="4"/>
        <v>32128.7448</v>
      </c>
      <c r="AA23" s="68">
        <f>+C23+F23+I23+L23+O23+R23+U23+X23</f>
        <v>962083.19900000002</v>
      </c>
      <c r="AB23" s="68">
        <f t="shared" si="3"/>
        <v>1169304.2000000002</v>
      </c>
      <c r="AC23" s="68">
        <f>+E23+H23+K23+N23+Q23+T23+W23+Z23</f>
        <v>1498972.2051999997</v>
      </c>
    </row>
    <row r="24" spans="1:30" ht="16.5">
      <c r="A24" s="91"/>
      <c r="B24" s="92" t="s">
        <v>69</v>
      </c>
      <c r="C24" s="93">
        <f t="shared" ref="C24:AB24" si="5">+C23-C22-C16-C17</f>
        <v>243108.11600000001</v>
      </c>
      <c r="D24" s="93">
        <f t="shared" si="5"/>
        <v>311622.93400000012</v>
      </c>
      <c r="E24" s="93">
        <f>+E23-E22-E16-E17</f>
        <v>-4108193.8128</v>
      </c>
      <c r="F24" s="64">
        <f t="shared" si="5"/>
        <v>51277.8</v>
      </c>
      <c r="G24" s="64">
        <f t="shared" si="5"/>
        <v>47629.799999999988</v>
      </c>
      <c r="H24" s="93">
        <f t="shared" si="5"/>
        <v>-4585138.466</v>
      </c>
      <c r="I24" s="93">
        <f t="shared" si="5"/>
        <v>54051.400000000016</v>
      </c>
      <c r="J24" s="93">
        <f t="shared" si="5"/>
        <v>43533.8</v>
      </c>
      <c r="K24" s="93">
        <f>+K23-K22-K16-K17</f>
        <v>-4686563.1023000004</v>
      </c>
      <c r="L24" s="93">
        <f t="shared" si="5"/>
        <v>33669.474000000002</v>
      </c>
      <c r="M24" s="93">
        <f t="shared" si="5"/>
        <v>37049.899999999994</v>
      </c>
      <c r="N24" s="93">
        <f t="shared" si="5"/>
        <v>-4685262.9424000001</v>
      </c>
      <c r="O24" s="93">
        <f>+O23-O22-O16-O20</f>
        <v>16856.899999999998</v>
      </c>
      <c r="P24" s="93">
        <f t="shared" si="5"/>
        <v>19320.400000000001</v>
      </c>
      <c r="Q24" s="93">
        <f t="shared" si="5"/>
        <v>-4695693.5274</v>
      </c>
      <c r="R24" s="64">
        <f t="shared" si="5"/>
        <v>21958</v>
      </c>
      <c r="S24" s="93">
        <f t="shared" si="5"/>
        <v>29212.1</v>
      </c>
      <c r="T24" s="93">
        <f t="shared" si="5"/>
        <v>-4679024.0607000003</v>
      </c>
      <c r="U24" s="93">
        <f t="shared" si="5"/>
        <v>19270</v>
      </c>
      <c r="V24" s="93">
        <f t="shared" si="5"/>
        <v>19270</v>
      </c>
      <c r="W24" s="93">
        <f t="shared" si="5"/>
        <v>-4695520.5323999999</v>
      </c>
      <c r="X24" s="94">
        <f t="shared" si="5"/>
        <v>24151.294000000002</v>
      </c>
      <c r="Y24" s="93">
        <f t="shared" si="5"/>
        <v>12935</v>
      </c>
      <c r="Z24" s="93">
        <f t="shared" si="5"/>
        <v>-4430443.6551999999</v>
      </c>
      <c r="AA24" s="64">
        <f>+AA23-AA22-AA16-AA17</f>
        <v>473316.18400000007</v>
      </c>
      <c r="AB24" s="64">
        <f t="shared" si="5"/>
        <v>520573.93400000024</v>
      </c>
      <c r="AC24" s="64">
        <f>+AC23-AC22-AC16-AC17</f>
        <v>-36565840.099200003</v>
      </c>
    </row>
    <row r="25" spans="1:30" ht="24.75" customHeight="1"/>
    <row r="26" spans="1:30" customFormat="1" ht="34.5" customHeight="1">
      <c r="A26" s="235" t="s">
        <v>118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</row>
    <row r="27" spans="1:30" ht="16.5">
      <c r="B27" s="97"/>
      <c r="C27" s="229"/>
      <c r="D27" s="229"/>
      <c r="E27" s="229"/>
      <c r="F27" s="229"/>
    </row>
    <row r="28" spans="1:30">
      <c r="C28" s="99"/>
      <c r="D28" s="99"/>
      <c r="E28" s="99"/>
      <c r="F28" s="98"/>
    </row>
  </sheetData>
  <mergeCells count="19">
    <mergeCell ref="A26:AC26"/>
    <mergeCell ref="R6:T6"/>
    <mergeCell ref="U6:W6"/>
    <mergeCell ref="X6:Z6"/>
    <mergeCell ref="AA6:AC6"/>
    <mergeCell ref="C27:F27"/>
    <mergeCell ref="A6:A7"/>
    <mergeCell ref="B6:B7"/>
    <mergeCell ref="C6:E6"/>
    <mergeCell ref="F6:H6"/>
    <mergeCell ref="I6:K6"/>
    <mergeCell ref="L6:N6"/>
    <mergeCell ref="O6:Q6"/>
    <mergeCell ref="D1:E1"/>
    <mergeCell ref="C2:E2"/>
    <mergeCell ref="AA2:AC2"/>
    <mergeCell ref="AA1:AC1"/>
    <mergeCell ref="D3:AC3"/>
    <mergeCell ref="A4:AC4"/>
  </mergeCells>
  <pageMargins left="0.26" right="0.24" top="0.39" bottom="0.48" header="0.16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workbookViewId="0">
      <selection activeCell="A3" sqref="A3:E3"/>
    </sheetView>
  </sheetViews>
  <sheetFormatPr defaultRowHeight="14.25"/>
  <cols>
    <col min="1" max="1" width="5.42578125" style="96" customWidth="1"/>
    <col min="2" max="2" width="42.42578125" style="101" bestFit="1" customWidth="1"/>
    <col min="3" max="3" width="15.28515625" style="98" customWidth="1"/>
    <col min="4" max="4" width="16.140625" style="98" customWidth="1"/>
    <col min="5" max="5" width="21.140625" style="98" customWidth="1"/>
    <col min="6" max="6" width="15.28515625" style="76" hidden="1" customWidth="1"/>
    <col min="7" max="7" width="15.42578125" style="76" hidden="1" customWidth="1"/>
    <col min="8" max="8" width="10.7109375" style="76" hidden="1" customWidth="1"/>
    <col min="9" max="9" width="14.42578125" style="79" customWidth="1"/>
    <col min="10" max="10" width="13.28515625" style="79" customWidth="1"/>
    <col min="11" max="11" width="14.42578125" style="76" customWidth="1"/>
    <col min="12" max="12" width="13.140625" style="76" customWidth="1"/>
    <col min="13" max="16384" width="9.140625" style="76"/>
  </cols>
  <sheetData>
    <row r="1" spans="1:10" customFormat="1" ht="18.75" customHeight="1">
      <c r="A1" s="6"/>
      <c r="B1" s="6"/>
      <c r="C1" s="239" t="s">
        <v>115</v>
      </c>
      <c r="D1" s="234"/>
      <c r="E1" s="234"/>
      <c r="I1" s="209"/>
      <c r="J1" s="209"/>
    </row>
    <row r="2" spans="1:10" customFormat="1" ht="64.5" customHeight="1">
      <c r="A2" s="6"/>
      <c r="B2" s="6"/>
      <c r="C2" s="178"/>
      <c r="D2" s="232" t="s">
        <v>191</v>
      </c>
      <c r="E2" s="232"/>
      <c r="I2" s="209"/>
      <c r="J2" s="209"/>
    </row>
    <row r="3" spans="1:10" ht="51" customHeight="1">
      <c r="A3" s="230" t="s">
        <v>176</v>
      </c>
      <c r="B3" s="230"/>
      <c r="C3" s="230"/>
      <c r="D3" s="230"/>
      <c r="E3" s="230"/>
    </row>
    <row r="4" spans="1:10" ht="27.75" customHeight="1">
      <c r="A4" s="77"/>
      <c r="B4" s="77"/>
      <c r="C4" s="179"/>
      <c r="D4" s="77"/>
      <c r="E4" s="77" t="s">
        <v>13</v>
      </c>
    </row>
    <row r="5" spans="1:10" s="79" customFormat="1" ht="48.75" customHeight="1">
      <c r="A5" s="203" t="s">
        <v>156</v>
      </c>
      <c r="B5" s="203" t="s">
        <v>12</v>
      </c>
      <c r="C5" s="32" t="s">
        <v>160</v>
      </c>
      <c r="D5" s="32" t="s">
        <v>161</v>
      </c>
      <c r="E5" s="32" t="s">
        <v>162</v>
      </c>
    </row>
    <row r="6" spans="1:10" ht="35.25" customHeight="1">
      <c r="A6" s="197">
        <v>1</v>
      </c>
      <c r="B6" s="198" t="s">
        <v>0</v>
      </c>
      <c r="C6" s="67">
        <f>+C7+C8+C9+C10+C11+C12+C13+C14+C15</f>
        <v>25239.368999999999</v>
      </c>
      <c r="D6" s="66">
        <f>+D7+D8+D9+D10+D11+D12+D13+D14+D15</f>
        <v>20000</v>
      </c>
      <c r="E6" s="66">
        <f>+E7+E8+E9+E10+E11+E12+E13+E14+E15</f>
        <v>18350</v>
      </c>
    </row>
    <row r="7" spans="1:10" ht="35.25" hidden="1" customHeight="1">
      <c r="A7" s="197"/>
      <c r="B7" s="198" t="s">
        <v>85</v>
      </c>
      <c r="C7" s="67">
        <v>10064.433000000001</v>
      </c>
      <c r="D7" s="66">
        <v>7000</v>
      </c>
      <c r="E7" s="66">
        <v>6000</v>
      </c>
      <c r="I7" s="210"/>
      <c r="J7" s="30"/>
    </row>
    <row r="8" spans="1:10" ht="35.25" hidden="1" customHeight="1">
      <c r="A8" s="197"/>
      <c r="B8" s="198" t="s">
        <v>140</v>
      </c>
      <c r="C8" s="66"/>
      <c r="D8" s="66"/>
      <c r="E8" s="66"/>
    </row>
    <row r="9" spans="1:10" ht="35.25" hidden="1" customHeight="1">
      <c r="A9" s="197"/>
      <c r="B9" s="198" t="s">
        <v>86</v>
      </c>
      <c r="C9" s="67">
        <v>168.21100000000001</v>
      </c>
      <c r="D9" s="66">
        <v>350</v>
      </c>
      <c r="E9" s="66">
        <v>300</v>
      </c>
    </row>
    <row r="10" spans="1:10" ht="35.25" hidden="1" customHeight="1">
      <c r="A10" s="197"/>
      <c r="B10" s="198" t="s">
        <v>87</v>
      </c>
      <c r="C10" s="67">
        <v>4350.8389999999999</v>
      </c>
      <c r="D10" s="66">
        <v>2600</v>
      </c>
      <c r="E10" s="66">
        <v>2600</v>
      </c>
    </row>
    <row r="11" spans="1:10" ht="35.25" hidden="1" customHeight="1">
      <c r="A11" s="197"/>
      <c r="B11" s="198" t="s">
        <v>90</v>
      </c>
      <c r="C11" s="67">
        <v>4444.1580000000004</v>
      </c>
      <c r="D11" s="66">
        <v>5600</v>
      </c>
      <c r="E11" s="66">
        <v>5000</v>
      </c>
    </row>
    <row r="12" spans="1:10" ht="35.25" hidden="1" customHeight="1">
      <c r="A12" s="197"/>
      <c r="B12" s="198" t="s">
        <v>91</v>
      </c>
      <c r="C12" s="67">
        <v>2278.8919999999998</v>
      </c>
      <c r="D12" s="66">
        <v>1500</v>
      </c>
      <c r="E12" s="66">
        <v>1500</v>
      </c>
    </row>
    <row r="13" spans="1:10" ht="35.25" hidden="1" customHeight="1">
      <c r="A13" s="197"/>
      <c r="B13" s="198" t="s">
        <v>92</v>
      </c>
      <c r="C13" s="67">
        <v>1994.355</v>
      </c>
      <c r="D13" s="66">
        <v>2000</v>
      </c>
      <c r="E13" s="66">
        <v>2000</v>
      </c>
    </row>
    <row r="14" spans="1:10" ht="35.25" hidden="1" customHeight="1">
      <c r="A14" s="197"/>
      <c r="B14" s="198" t="s">
        <v>89</v>
      </c>
      <c r="C14" s="67">
        <v>237.72200000000001</v>
      </c>
      <c r="D14" s="66">
        <v>150</v>
      </c>
      <c r="E14" s="66">
        <v>150</v>
      </c>
    </row>
    <row r="15" spans="1:10" ht="35.25" hidden="1" customHeight="1">
      <c r="A15" s="197"/>
      <c r="B15" s="198" t="s">
        <v>88</v>
      </c>
      <c r="C15" s="67">
        <v>1700.759</v>
      </c>
      <c r="D15" s="66">
        <v>800</v>
      </c>
      <c r="E15" s="66">
        <v>800</v>
      </c>
    </row>
    <row r="16" spans="1:10" ht="35.25" hidden="1" customHeight="1">
      <c r="A16" s="242" t="s">
        <v>158</v>
      </c>
      <c r="B16" s="243"/>
      <c r="C16" s="243"/>
      <c r="D16" s="244"/>
      <c r="E16" s="66">
        <f>SUM(E7:E15)</f>
        <v>18350</v>
      </c>
    </row>
    <row r="17" spans="1:5" ht="35.25" customHeight="1">
      <c r="A17" s="197">
        <v>2</v>
      </c>
      <c r="B17" s="198" t="s">
        <v>1</v>
      </c>
      <c r="C17" s="67">
        <f>+C18+C19+C20+C21+C22+C23+C24+C25+C26</f>
        <v>20502.148000000001</v>
      </c>
      <c r="D17" s="66">
        <f>+D18+D19+D20+D21+D22+D23+D24+D25+D26</f>
        <v>17300</v>
      </c>
      <c r="E17" s="66">
        <f>+E18+E19+E20+E21+E22+E23+E24+E25+E26</f>
        <v>15800</v>
      </c>
    </row>
    <row r="18" spans="1:5" ht="35.25" hidden="1" customHeight="1">
      <c r="A18" s="197"/>
      <c r="B18" s="198" t="s">
        <v>85</v>
      </c>
      <c r="C18" s="67">
        <v>12928.587</v>
      </c>
      <c r="D18" s="67">
        <v>12000</v>
      </c>
      <c r="E18" s="66">
        <v>11000</v>
      </c>
    </row>
    <row r="19" spans="1:5" ht="35.25" hidden="1" customHeight="1">
      <c r="A19" s="197"/>
      <c r="B19" s="198" t="s">
        <v>140</v>
      </c>
      <c r="C19" s="66"/>
      <c r="D19" s="66"/>
      <c r="E19" s="66">
        <v>0</v>
      </c>
    </row>
    <row r="20" spans="1:5" ht="35.25" hidden="1" customHeight="1">
      <c r="A20" s="197"/>
      <c r="B20" s="198" t="s">
        <v>86</v>
      </c>
      <c r="C20" s="66">
        <v>184.65799999999999</v>
      </c>
      <c r="D20" s="66">
        <v>150</v>
      </c>
      <c r="E20" s="66">
        <v>120</v>
      </c>
    </row>
    <row r="21" spans="1:5" ht="35.25" hidden="1" customHeight="1">
      <c r="A21" s="197"/>
      <c r="B21" s="198" t="s">
        <v>87</v>
      </c>
      <c r="C21" s="66">
        <v>1146.316</v>
      </c>
      <c r="D21" s="66">
        <v>2000</v>
      </c>
      <c r="E21" s="66">
        <v>2000</v>
      </c>
    </row>
    <row r="22" spans="1:5" ht="35.25" hidden="1" customHeight="1">
      <c r="A22" s="197"/>
      <c r="B22" s="198" t="s">
        <v>90</v>
      </c>
      <c r="C22" s="66">
        <v>3741.442</v>
      </c>
      <c r="D22" s="66">
        <v>2000</v>
      </c>
      <c r="E22" s="66">
        <v>1500</v>
      </c>
    </row>
    <row r="23" spans="1:5" ht="35.25" hidden="1" customHeight="1">
      <c r="A23" s="197"/>
      <c r="B23" s="198" t="s">
        <v>91</v>
      </c>
      <c r="C23" s="66">
        <v>1324.588</v>
      </c>
      <c r="D23" s="66">
        <v>450</v>
      </c>
      <c r="E23" s="66">
        <v>400</v>
      </c>
    </row>
    <row r="24" spans="1:5" ht="35.25" hidden="1" customHeight="1">
      <c r="A24" s="197"/>
      <c r="B24" s="198" t="s">
        <v>92</v>
      </c>
      <c r="C24" s="66">
        <v>462.85700000000003</v>
      </c>
      <c r="D24" s="66">
        <v>600</v>
      </c>
      <c r="E24" s="66">
        <v>680</v>
      </c>
    </row>
    <row r="25" spans="1:5" ht="35.25" hidden="1" customHeight="1">
      <c r="A25" s="197"/>
      <c r="B25" s="198" t="s">
        <v>89</v>
      </c>
      <c r="C25" s="66">
        <v>0</v>
      </c>
      <c r="D25" s="66">
        <v>0</v>
      </c>
      <c r="E25" s="66">
        <v>0</v>
      </c>
    </row>
    <row r="26" spans="1:5" ht="35.25" hidden="1" customHeight="1">
      <c r="A26" s="197"/>
      <c r="B26" s="198" t="s">
        <v>88</v>
      </c>
      <c r="C26" s="66">
        <v>713.7</v>
      </c>
      <c r="D26" s="66">
        <v>100</v>
      </c>
      <c r="E26" s="66">
        <v>100</v>
      </c>
    </row>
    <row r="27" spans="1:5" ht="35.25" hidden="1" customHeight="1">
      <c r="A27" s="242" t="s">
        <v>159</v>
      </c>
      <c r="B27" s="243"/>
      <c r="C27" s="243"/>
      <c r="D27" s="244"/>
      <c r="E27" s="215">
        <f>SUM(E18:E26)</f>
        <v>15800</v>
      </c>
    </row>
    <row r="28" spans="1:5" ht="35.25" customHeight="1">
      <c r="A28" s="197">
        <v>3</v>
      </c>
      <c r="B28" s="198" t="s">
        <v>76</v>
      </c>
      <c r="C28" s="66">
        <f>+C29+C30+C31+C32+C33+C34+C35+C36+C37</f>
        <v>117532.95899999999</v>
      </c>
      <c r="D28" s="66">
        <f>+D29+D30+D31+D32+D33+D34+D35+D36+D37</f>
        <v>138000</v>
      </c>
      <c r="E28" s="66">
        <f>+E29+E30+E31+E32+E33+E34+E35+E36+E37</f>
        <v>192400</v>
      </c>
    </row>
    <row r="29" spans="1:5" ht="35.25" hidden="1" customHeight="1">
      <c r="A29" s="197"/>
      <c r="B29" s="198" t="s">
        <v>85</v>
      </c>
      <c r="C29" s="67">
        <f>54713.593+4591.941</f>
        <v>59305.534</v>
      </c>
      <c r="D29" s="66">
        <v>66000</v>
      </c>
      <c r="E29" s="66">
        <v>95000</v>
      </c>
    </row>
    <row r="30" spans="1:5" ht="35.25" hidden="1" customHeight="1">
      <c r="A30" s="197"/>
      <c r="B30" s="198" t="s">
        <v>140</v>
      </c>
      <c r="C30" s="67"/>
      <c r="D30" s="66">
        <v>0</v>
      </c>
      <c r="E30" s="66"/>
    </row>
    <row r="31" spans="1:5" ht="35.25" hidden="1" customHeight="1">
      <c r="A31" s="197"/>
      <c r="B31" s="198" t="s">
        <v>86</v>
      </c>
      <c r="C31" s="67">
        <f>9365.912+520.695</f>
        <v>9886.607</v>
      </c>
      <c r="D31" s="66">
        <v>12000</v>
      </c>
      <c r="E31" s="66">
        <v>18600</v>
      </c>
    </row>
    <row r="32" spans="1:5" ht="35.25" hidden="1" customHeight="1">
      <c r="A32" s="197"/>
      <c r="B32" s="198" t="s">
        <v>87</v>
      </c>
      <c r="C32" s="67">
        <f>6254.037+1150.727</f>
        <v>7404.7640000000001</v>
      </c>
      <c r="D32" s="66">
        <v>10000</v>
      </c>
      <c r="E32" s="66">
        <v>13800</v>
      </c>
    </row>
    <row r="33" spans="1:5" ht="35.25" hidden="1" customHeight="1">
      <c r="A33" s="197"/>
      <c r="B33" s="198" t="s">
        <v>90</v>
      </c>
      <c r="C33" s="67">
        <f>14961.943+896.565</f>
        <v>15858.508</v>
      </c>
      <c r="D33" s="66">
        <v>20000</v>
      </c>
      <c r="E33" s="66">
        <v>27200</v>
      </c>
    </row>
    <row r="34" spans="1:5" ht="35.25" hidden="1" customHeight="1">
      <c r="A34" s="197"/>
      <c r="B34" s="198" t="s">
        <v>91</v>
      </c>
      <c r="C34" s="67">
        <f>10749.245+226.424</f>
        <v>10975.669000000002</v>
      </c>
      <c r="D34" s="66">
        <v>13000</v>
      </c>
      <c r="E34" s="66">
        <v>16200</v>
      </c>
    </row>
    <row r="35" spans="1:5" ht="35.25" hidden="1" customHeight="1">
      <c r="A35" s="197"/>
      <c r="B35" s="198" t="s">
        <v>92</v>
      </c>
      <c r="C35" s="67">
        <f>3656.213+155.989</f>
        <v>3812.2020000000002</v>
      </c>
      <c r="D35" s="66">
        <v>6200</v>
      </c>
      <c r="E35" s="66">
        <v>7600</v>
      </c>
    </row>
    <row r="36" spans="1:5" ht="35.25" hidden="1" customHeight="1">
      <c r="A36" s="197"/>
      <c r="B36" s="198" t="s">
        <v>89</v>
      </c>
      <c r="C36" s="67">
        <f>3087.541+210.817</f>
        <v>3298.3580000000002</v>
      </c>
      <c r="D36" s="66">
        <v>3800</v>
      </c>
      <c r="E36" s="66">
        <v>4900</v>
      </c>
    </row>
    <row r="37" spans="1:5" ht="35.25" hidden="1" customHeight="1">
      <c r="A37" s="197"/>
      <c r="B37" s="198" t="s">
        <v>88</v>
      </c>
      <c r="C37" s="67">
        <v>6991.317</v>
      </c>
      <c r="D37" s="66">
        <v>7000</v>
      </c>
      <c r="E37" s="66">
        <v>9100</v>
      </c>
    </row>
    <row r="38" spans="1:5" ht="35.25" hidden="1" customHeight="1">
      <c r="A38" s="242" t="s">
        <v>157</v>
      </c>
      <c r="B38" s="243"/>
      <c r="C38" s="243"/>
      <c r="D38" s="244"/>
      <c r="E38" s="66">
        <f>SUM(E29:E37)</f>
        <v>192400</v>
      </c>
    </row>
    <row r="39" spans="1:5" ht="49.5" customHeight="1">
      <c r="A39" s="197">
        <v>4</v>
      </c>
      <c r="B39" s="198" t="s">
        <v>2</v>
      </c>
      <c r="C39" s="66">
        <f>+C40+C41+C42+C43+C44+C45+C46+C47+C48</f>
        <v>219662.804</v>
      </c>
      <c r="D39" s="66">
        <f>+D40+D41+D42+D43+D44+D45+D46+D47+D48</f>
        <v>246000</v>
      </c>
      <c r="E39" s="66">
        <f>+E40+E41+E42+E43+E44+E45+E46+E47+E48</f>
        <v>305000</v>
      </c>
    </row>
    <row r="40" spans="1:5" ht="35.25" hidden="1" customHeight="1">
      <c r="A40" s="80"/>
      <c r="B40" s="81" t="s">
        <v>85</v>
      </c>
      <c r="C40" s="67">
        <f>56953.667+2071.15</f>
        <v>59024.817000000003</v>
      </c>
      <c r="D40" s="66">
        <v>73000</v>
      </c>
      <c r="E40" s="66">
        <v>94000</v>
      </c>
    </row>
    <row r="41" spans="1:5" ht="35.25" hidden="1" customHeight="1">
      <c r="A41" s="80"/>
      <c r="B41" s="81" t="s">
        <v>140</v>
      </c>
      <c r="C41" s="66">
        <f>1663.711+22640.7</f>
        <v>24304.411</v>
      </c>
      <c r="D41" s="66">
        <v>31000</v>
      </c>
      <c r="E41" s="66">
        <v>38800</v>
      </c>
    </row>
    <row r="42" spans="1:5" ht="35.25" hidden="1" customHeight="1">
      <c r="A42" s="80"/>
      <c r="B42" s="81" t="s">
        <v>86</v>
      </c>
      <c r="C42" s="66">
        <f>29471.799+2047.446</f>
        <v>31519.244999999999</v>
      </c>
      <c r="D42" s="66">
        <v>34000</v>
      </c>
      <c r="E42" s="66">
        <v>45000</v>
      </c>
    </row>
    <row r="43" spans="1:5" ht="35.25" hidden="1" customHeight="1">
      <c r="A43" s="80"/>
      <c r="B43" s="81" t="s">
        <v>87</v>
      </c>
      <c r="C43" s="66">
        <f>25889.963+162.383</f>
        <v>26052.346000000001</v>
      </c>
      <c r="D43" s="66">
        <v>27000</v>
      </c>
      <c r="E43" s="66">
        <v>28000</v>
      </c>
    </row>
    <row r="44" spans="1:5" ht="35.25" hidden="1" customHeight="1">
      <c r="A44" s="80"/>
      <c r="B44" s="81" t="s">
        <v>90</v>
      </c>
      <c r="C44" s="66">
        <f>20340.206+1745.217</f>
        <v>22085.422999999999</v>
      </c>
      <c r="D44" s="66">
        <v>21000</v>
      </c>
      <c r="E44" s="66">
        <v>26000</v>
      </c>
    </row>
    <row r="45" spans="1:5" ht="35.25" hidden="1" customHeight="1">
      <c r="A45" s="80"/>
      <c r="B45" s="81" t="s">
        <v>91</v>
      </c>
      <c r="C45" s="66">
        <f>15230.593+268.295</f>
        <v>15498.888000000001</v>
      </c>
      <c r="D45" s="66">
        <v>17000</v>
      </c>
      <c r="E45" s="66">
        <v>22000</v>
      </c>
    </row>
    <row r="46" spans="1:5" ht="35.25" hidden="1" customHeight="1">
      <c r="A46" s="80"/>
      <c r="B46" s="81" t="s">
        <v>92</v>
      </c>
      <c r="C46" s="66">
        <f>11238.556+77.039</f>
        <v>11315.595000000001</v>
      </c>
      <c r="D46" s="66">
        <v>13000</v>
      </c>
      <c r="E46" s="66">
        <v>15000</v>
      </c>
    </row>
    <row r="47" spans="1:5" ht="35.25" hidden="1" customHeight="1">
      <c r="A47" s="80"/>
      <c r="B47" s="81" t="s">
        <v>89</v>
      </c>
      <c r="C47" s="66">
        <v>11736.43</v>
      </c>
      <c r="D47" s="66">
        <v>11000</v>
      </c>
      <c r="E47" s="66">
        <v>14200</v>
      </c>
    </row>
    <row r="48" spans="1:5" ht="35.25" hidden="1" customHeight="1">
      <c r="A48" s="80"/>
      <c r="B48" s="81" t="s">
        <v>88</v>
      </c>
      <c r="C48" s="66">
        <f>18081.274+44.375</f>
        <v>18125.649000000001</v>
      </c>
      <c r="D48" s="66">
        <v>19000</v>
      </c>
      <c r="E48" s="66">
        <v>22000</v>
      </c>
    </row>
    <row r="49" spans="1:10" ht="35.25" hidden="1" customHeight="1">
      <c r="A49" s="240" t="s">
        <v>163</v>
      </c>
      <c r="B49" s="245"/>
      <c r="C49" s="245"/>
      <c r="D49" s="241"/>
      <c r="E49" s="204">
        <f>SUM(E40:E48)</f>
        <v>305000</v>
      </c>
    </row>
    <row r="50" spans="1:10" ht="35.25" customHeight="1">
      <c r="A50" s="80">
        <v>5</v>
      </c>
      <c r="B50" s="81" t="s">
        <v>3</v>
      </c>
      <c r="C50" s="67">
        <v>34265.254999999997</v>
      </c>
      <c r="D50" s="66">
        <v>33800</v>
      </c>
      <c r="E50" s="66">
        <v>43906</v>
      </c>
    </row>
    <row r="51" spans="1:10" ht="35.25" customHeight="1">
      <c r="A51" s="80">
        <v>6</v>
      </c>
      <c r="B51" s="81" t="s">
        <v>6</v>
      </c>
      <c r="C51" s="66">
        <v>13829.736000000001</v>
      </c>
      <c r="D51" s="67">
        <v>16000</v>
      </c>
      <c r="E51" s="67">
        <f>15594+250.605</f>
        <v>15844.605</v>
      </c>
    </row>
    <row r="52" spans="1:10" ht="30" customHeight="1">
      <c r="A52" s="80">
        <v>7</v>
      </c>
      <c r="B52" s="85" t="s">
        <v>7</v>
      </c>
      <c r="C52" s="66">
        <v>103651.42</v>
      </c>
      <c r="D52" s="66">
        <f>+D56+D69+D79+D89+D99+D109</f>
        <v>132027</v>
      </c>
      <c r="E52" s="66">
        <f>+E56+E69+E79+E89+E99+E109</f>
        <v>137060</v>
      </c>
    </row>
    <row r="53" spans="1:10" ht="43.5" customHeight="1">
      <c r="A53" s="80">
        <v>8</v>
      </c>
      <c r="B53" s="85" t="s">
        <v>183</v>
      </c>
      <c r="C53" s="66">
        <f>+C120+C123+C124+C128</f>
        <v>57849.442999999999</v>
      </c>
      <c r="D53" s="66">
        <f>+D120+D123+D124+D128</f>
        <v>69000</v>
      </c>
      <c r="E53" s="66">
        <f>+E120+E122+E123+E124+E128</f>
        <v>66500</v>
      </c>
    </row>
    <row r="54" spans="1:10" ht="30" customHeight="1">
      <c r="A54" s="80">
        <v>9</v>
      </c>
      <c r="B54" s="85" t="s">
        <v>185</v>
      </c>
      <c r="C54" s="66">
        <v>3700</v>
      </c>
      <c r="D54" s="67">
        <v>0</v>
      </c>
      <c r="E54" s="66">
        <v>500</v>
      </c>
    </row>
    <row r="55" spans="1:10" ht="35.25" customHeight="1">
      <c r="A55" s="80">
        <v>10</v>
      </c>
      <c r="B55" s="81" t="s">
        <v>4</v>
      </c>
      <c r="C55" s="67">
        <v>24516.552</v>
      </c>
      <c r="D55" s="67">
        <v>31437.421999999999</v>
      </c>
      <c r="E55" s="67">
        <f>+E129+E127+E126+E125</f>
        <v>11649.710999999999</v>
      </c>
    </row>
    <row r="56" spans="1:10" ht="30" hidden="1" customHeight="1">
      <c r="A56" s="240" t="s">
        <v>155</v>
      </c>
      <c r="B56" s="241"/>
      <c r="C56" s="196">
        <f>+C57+C58+C59+C60+C61+C62+C63+C64+C66+C67+C68</f>
        <v>62971.040000000001</v>
      </c>
      <c r="D56" s="196">
        <f>+D57+D58+D59+D60+D61+D62+D63+D64+D66+D67+D68</f>
        <v>75892</v>
      </c>
      <c r="E56" s="196">
        <f>+E57+E58+E59+E60+E61+E62+E63+E64+E66+E67+E68+E65</f>
        <v>75300</v>
      </c>
    </row>
    <row r="57" spans="1:10" ht="30" hidden="1" customHeight="1">
      <c r="A57" s="80"/>
      <c r="B57" s="85" t="s">
        <v>141</v>
      </c>
      <c r="C57" s="66">
        <v>9356.75</v>
      </c>
      <c r="D57" s="124">
        <f>98*8*12+972</f>
        <v>10380</v>
      </c>
      <c r="E57" s="124">
        <v>10000</v>
      </c>
      <c r="I57" s="247"/>
      <c r="J57" s="247"/>
    </row>
    <row r="58" spans="1:10" ht="30" hidden="1" customHeight="1">
      <c r="A58" s="80"/>
      <c r="B58" s="85" t="s">
        <v>150</v>
      </c>
      <c r="C58" s="66">
        <v>6745.2</v>
      </c>
      <c r="D58" s="124">
        <f>72*8*12+756</f>
        <v>7668</v>
      </c>
      <c r="E58" s="124">
        <v>7500</v>
      </c>
      <c r="I58" s="247"/>
      <c r="J58" s="247"/>
    </row>
    <row r="59" spans="1:10" ht="30" hidden="1" customHeight="1">
      <c r="A59" s="80"/>
      <c r="B59" s="85" t="s">
        <v>142</v>
      </c>
      <c r="C59" s="66">
        <v>7539.86</v>
      </c>
      <c r="D59" s="124">
        <f>105*8*12+594</f>
        <v>10674</v>
      </c>
      <c r="E59" s="124">
        <v>9900</v>
      </c>
      <c r="I59" s="247"/>
      <c r="J59" s="247"/>
    </row>
    <row r="60" spans="1:10" ht="30" hidden="1" customHeight="1">
      <c r="A60" s="80"/>
      <c r="B60" s="85" t="s">
        <v>151</v>
      </c>
      <c r="C60" s="66">
        <v>5308.15</v>
      </c>
      <c r="D60" s="124">
        <f>58*8*12+270</f>
        <v>5838</v>
      </c>
      <c r="E60" s="124">
        <v>5000</v>
      </c>
      <c r="I60" s="247"/>
      <c r="J60" s="247"/>
    </row>
    <row r="61" spans="1:10" ht="30" hidden="1" customHeight="1">
      <c r="A61" s="80"/>
      <c r="B61" s="85" t="s">
        <v>143</v>
      </c>
      <c r="C61" s="66">
        <v>8643.65</v>
      </c>
      <c r="D61" s="124">
        <f>95*8*12+1080</f>
        <v>10200</v>
      </c>
      <c r="E61" s="124">
        <v>9400</v>
      </c>
    </row>
    <row r="62" spans="1:10" ht="30" hidden="1" customHeight="1">
      <c r="A62" s="80"/>
      <c r="B62" s="85" t="s">
        <v>144</v>
      </c>
      <c r="C62" s="66">
        <v>6300.68</v>
      </c>
      <c r="D62" s="124">
        <f>69*8*12+702</f>
        <v>7326</v>
      </c>
      <c r="E62" s="124">
        <v>6900</v>
      </c>
    </row>
    <row r="63" spans="1:10" ht="30" hidden="1" customHeight="1">
      <c r="A63" s="80"/>
      <c r="B63" s="85" t="s">
        <v>145</v>
      </c>
      <c r="C63" s="66">
        <v>5205</v>
      </c>
      <c r="D63" s="124">
        <f>53*8*12+486</f>
        <v>5574</v>
      </c>
      <c r="E63" s="124">
        <v>5200</v>
      </c>
    </row>
    <row r="64" spans="1:10" ht="30" hidden="1" customHeight="1">
      <c r="A64" s="80"/>
      <c r="B64" s="85" t="s">
        <v>146</v>
      </c>
      <c r="C64" s="66">
        <v>4835.8999999999996</v>
      </c>
      <c r="D64" s="124">
        <f>50*8*12+432</f>
        <v>5232</v>
      </c>
      <c r="E64" s="124">
        <v>4400</v>
      </c>
    </row>
    <row r="65" spans="1:5" ht="30" hidden="1" customHeight="1">
      <c r="A65" s="80"/>
      <c r="B65" s="85" t="s">
        <v>173</v>
      </c>
      <c r="C65" s="66">
        <v>0</v>
      </c>
      <c r="D65" s="124">
        <v>0</v>
      </c>
      <c r="E65" s="124">
        <v>4000</v>
      </c>
    </row>
    <row r="66" spans="1:5" ht="30" hidden="1" customHeight="1">
      <c r="A66" s="80"/>
      <c r="B66" s="85" t="s">
        <v>147</v>
      </c>
      <c r="C66" s="66">
        <v>6089.75</v>
      </c>
      <c r="D66" s="124">
        <v>9000</v>
      </c>
      <c r="E66" s="124">
        <v>9000</v>
      </c>
    </row>
    <row r="67" spans="1:5" ht="30" hidden="1" customHeight="1">
      <c r="A67" s="80"/>
      <c r="B67" s="85" t="s">
        <v>148</v>
      </c>
      <c r="C67" s="66">
        <v>2314.1</v>
      </c>
      <c r="D67" s="124">
        <v>3000</v>
      </c>
      <c r="E67" s="124">
        <v>3000</v>
      </c>
    </row>
    <row r="68" spans="1:5" ht="30" hidden="1" customHeight="1">
      <c r="A68" s="80"/>
      <c r="B68" s="85" t="s">
        <v>149</v>
      </c>
      <c r="C68" s="66">
        <v>632</v>
      </c>
      <c r="D68" s="124">
        <v>1000</v>
      </c>
      <c r="E68" s="124">
        <v>1000</v>
      </c>
    </row>
    <row r="69" spans="1:5" ht="30" hidden="1" customHeight="1">
      <c r="A69" s="240" t="s">
        <v>152</v>
      </c>
      <c r="B69" s="241"/>
      <c r="C69" s="105">
        <f>+C70+C71+C72+C73+C74+C75+C76+C77+C78</f>
        <v>38407.875999999997</v>
      </c>
      <c r="D69" s="196">
        <f>+D70+D71+D72+D73+D74+D75+D76+D77+D78</f>
        <v>54200</v>
      </c>
      <c r="E69" s="196">
        <f>+E70+E71+E72+E73+E74+E75+E76+E77+E78</f>
        <v>60000</v>
      </c>
    </row>
    <row r="70" spans="1:5" ht="35.25" hidden="1" customHeight="1">
      <c r="A70" s="80"/>
      <c r="B70" s="81" t="s">
        <v>85</v>
      </c>
      <c r="C70" s="67">
        <v>9309.1740000000009</v>
      </c>
      <c r="D70" s="124">
        <v>18000</v>
      </c>
      <c r="E70" s="124">
        <v>14000</v>
      </c>
    </row>
    <row r="71" spans="1:5" ht="35.25" hidden="1" customHeight="1">
      <c r="A71" s="80"/>
      <c r="B71" s="81" t="s">
        <v>140</v>
      </c>
      <c r="C71" s="67"/>
      <c r="D71" s="124"/>
      <c r="E71" s="124">
        <v>5800</v>
      </c>
    </row>
    <row r="72" spans="1:5" ht="35.25" hidden="1" customHeight="1">
      <c r="A72" s="80"/>
      <c r="B72" s="81" t="s">
        <v>86</v>
      </c>
      <c r="C72" s="67">
        <v>5608.9570000000003</v>
      </c>
      <c r="D72" s="124">
        <v>7000</v>
      </c>
      <c r="E72" s="124">
        <v>8000</v>
      </c>
    </row>
    <row r="73" spans="1:5" ht="35.25" hidden="1" customHeight="1">
      <c r="A73" s="80"/>
      <c r="B73" s="81" t="s">
        <v>87</v>
      </c>
      <c r="C73" s="67">
        <v>5806.88</v>
      </c>
      <c r="D73" s="124">
        <v>6000</v>
      </c>
      <c r="E73" s="124">
        <v>7000</v>
      </c>
    </row>
    <row r="74" spans="1:5" ht="35.25" hidden="1" customHeight="1">
      <c r="A74" s="80"/>
      <c r="B74" s="81" t="s">
        <v>90</v>
      </c>
      <c r="C74" s="67">
        <v>3044.5149999999999</v>
      </c>
      <c r="D74" s="124">
        <v>6000</v>
      </c>
      <c r="E74" s="124">
        <v>7000</v>
      </c>
    </row>
    <row r="75" spans="1:5" ht="35.25" hidden="1" customHeight="1">
      <c r="A75" s="80"/>
      <c r="B75" s="81" t="s">
        <v>91</v>
      </c>
      <c r="C75" s="67">
        <v>3564.16</v>
      </c>
      <c r="D75" s="124">
        <v>4000</v>
      </c>
      <c r="E75" s="124">
        <v>5000</v>
      </c>
    </row>
    <row r="76" spans="1:5" ht="35.25" hidden="1" customHeight="1">
      <c r="A76" s="80"/>
      <c r="B76" s="81" t="s">
        <v>92</v>
      </c>
      <c r="C76" s="67">
        <v>2154.0149999999999</v>
      </c>
      <c r="D76" s="124">
        <v>4000</v>
      </c>
      <c r="E76" s="124">
        <v>4000</v>
      </c>
    </row>
    <row r="77" spans="1:5" ht="35.25" hidden="1" customHeight="1">
      <c r="A77" s="80"/>
      <c r="B77" s="81" t="s">
        <v>89</v>
      </c>
      <c r="C77" s="67">
        <v>3284.2249999999999</v>
      </c>
      <c r="D77" s="124">
        <v>3200</v>
      </c>
      <c r="E77" s="124">
        <v>3200</v>
      </c>
    </row>
    <row r="78" spans="1:5" ht="35.25" hidden="1" customHeight="1">
      <c r="A78" s="80"/>
      <c r="B78" s="81" t="s">
        <v>88</v>
      </c>
      <c r="C78" s="67">
        <v>5635.95</v>
      </c>
      <c r="D78" s="124">
        <v>6000</v>
      </c>
      <c r="E78" s="124">
        <v>6000</v>
      </c>
    </row>
    <row r="79" spans="1:5" ht="25.5" hidden="1" customHeight="1">
      <c r="A79" s="107"/>
      <c r="B79" s="195" t="s">
        <v>154</v>
      </c>
      <c r="C79" s="196">
        <f>+C80+C81+C82+C83+C84+C85+C86+C87+C88</f>
        <v>1681</v>
      </c>
      <c r="D79" s="196">
        <f>+D80+D81+D82+D83+D84+D85+D86+D87+D88</f>
        <v>810</v>
      </c>
      <c r="E79" s="196">
        <f>+E80+E81+E82+E83+E84+E85+E86+E87+E88</f>
        <v>1310</v>
      </c>
    </row>
    <row r="80" spans="1:5" ht="25.5" hidden="1" customHeight="1">
      <c r="A80" s="80"/>
      <c r="B80" s="81" t="s">
        <v>85</v>
      </c>
      <c r="C80" s="66">
        <v>1156</v>
      </c>
      <c r="D80" s="124">
        <v>450</v>
      </c>
      <c r="E80" s="124">
        <v>900</v>
      </c>
    </row>
    <row r="81" spans="1:5" ht="25.5" hidden="1" customHeight="1">
      <c r="A81" s="80"/>
      <c r="B81" s="81" t="s">
        <v>140</v>
      </c>
      <c r="C81" s="66"/>
      <c r="D81" s="124"/>
      <c r="E81" s="124"/>
    </row>
    <row r="82" spans="1:5" ht="25.5" hidden="1" customHeight="1">
      <c r="A82" s="80"/>
      <c r="B82" s="81" t="s">
        <v>86</v>
      </c>
      <c r="C82" s="66">
        <v>135</v>
      </c>
      <c r="D82" s="124">
        <v>90</v>
      </c>
      <c r="E82" s="124">
        <v>90</v>
      </c>
    </row>
    <row r="83" spans="1:5" ht="25.5" hidden="1" customHeight="1">
      <c r="A83" s="80"/>
      <c r="B83" s="81" t="s">
        <v>87</v>
      </c>
      <c r="C83" s="66"/>
      <c r="D83" s="124"/>
      <c r="E83" s="124"/>
    </row>
    <row r="84" spans="1:5" ht="25.5" hidden="1" customHeight="1">
      <c r="A84" s="80"/>
      <c r="B84" s="81" t="s">
        <v>90</v>
      </c>
      <c r="C84" s="66">
        <v>240</v>
      </c>
      <c r="D84" s="124">
        <v>90</v>
      </c>
      <c r="E84" s="124">
        <v>200</v>
      </c>
    </row>
    <row r="85" spans="1:5" ht="25.5" hidden="1" customHeight="1">
      <c r="A85" s="80"/>
      <c r="B85" s="81" t="s">
        <v>91</v>
      </c>
      <c r="C85" s="66">
        <v>105</v>
      </c>
      <c r="D85" s="124">
        <v>90</v>
      </c>
      <c r="E85" s="124">
        <v>90</v>
      </c>
    </row>
    <row r="86" spans="1:5" ht="25.5" hidden="1" customHeight="1">
      <c r="A86" s="80"/>
      <c r="B86" s="81" t="s">
        <v>92</v>
      </c>
      <c r="C86" s="66"/>
      <c r="D86" s="124"/>
      <c r="E86" s="124"/>
    </row>
    <row r="87" spans="1:5" ht="25.5" hidden="1" customHeight="1">
      <c r="A87" s="80"/>
      <c r="B87" s="81" t="s">
        <v>89</v>
      </c>
      <c r="C87" s="66">
        <v>45</v>
      </c>
      <c r="D87" s="124">
        <v>90</v>
      </c>
      <c r="E87" s="124">
        <v>30</v>
      </c>
    </row>
    <row r="88" spans="1:5" ht="25.5" hidden="1" customHeight="1">
      <c r="A88" s="80"/>
      <c r="B88" s="81" t="s">
        <v>88</v>
      </c>
      <c r="C88" s="66"/>
      <c r="D88" s="124"/>
      <c r="E88" s="124"/>
    </row>
    <row r="89" spans="1:5" ht="32.25" hidden="1" customHeight="1">
      <c r="A89" s="107"/>
      <c r="B89" s="206" t="s">
        <v>166</v>
      </c>
      <c r="C89" s="196">
        <f>+C90+C91+C92+C93+C94+C95+C96+C97+C98</f>
        <v>105</v>
      </c>
      <c r="D89" s="196">
        <f>+D90+D91+D92+D93+D94+D95+D96+D97+D98</f>
        <v>1005</v>
      </c>
      <c r="E89" s="196">
        <f>+E90+E91+E92+E93+E94+E95+E96+E97+E98</f>
        <v>90</v>
      </c>
    </row>
    <row r="90" spans="1:5" ht="25.5" hidden="1" customHeight="1">
      <c r="A90" s="80"/>
      <c r="B90" s="81" t="s">
        <v>85</v>
      </c>
      <c r="C90" s="66">
        <v>75</v>
      </c>
      <c r="D90" s="124">
        <v>945</v>
      </c>
      <c r="E90" s="124">
        <v>30</v>
      </c>
    </row>
    <row r="91" spans="1:5" ht="25.5" hidden="1" customHeight="1">
      <c r="A91" s="80"/>
      <c r="B91" s="81" t="s">
        <v>140</v>
      </c>
      <c r="C91" s="66"/>
      <c r="D91" s="124"/>
      <c r="E91" s="124"/>
    </row>
    <row r="92" spans="1:5" ht="25.5" hidden="1" customHeight="1">
      <c r="A92" s="80"/>
      <c r="B92" s="81" t="s">
        <v>86</v>
      </c>
      <c r="C92" s="66">
        <v>0</v>
      </c>
      <c r="D92" s="124">
        <v>30</v>
      </c>
      <c r="E92" s="124">
        <v>30</v>
      </c>
    </row>
    <row r="93" spans="1:5" ht="25.5" hidden="1" customHeight="1">
      <c r="A93" s="80"/>
      <c r="B93" s="81" t="s">
        <v>87</v>
      </c>
      <c r="C93" s="66"/>
      <c r="D93" s="124"/>
      <c r="E93" s="124"/>
    </row>
    <row r="94" spans="1:5" ht="25.5" hidden="1" customHeight="1">
      <c r="A94" s="80"/>
      <c r="B94" s="81" t="s">
        <v>90</v>
      </c>
      <c r="C94" s="66">
        <v>30</v>
      </c>
      <c r="D94" s="124">
        <v>30</v>
      </c>
      <c r="E94" s="124">
        <v>30</v>
      </c>
    </row>
    <row r="95" spans="1:5" ht="25.5" hidden="1" customHeight="1">
      <c r="A95" s="80"/>
      <c r="B95" s="81" t="s">
        <v>91</v>
      </c>
      <c r="C95" s="66"/>
      <c r="D95" s="124"/>
      <c r="E95" s="124"/>
    </row>
    <row r="96" spans="1:5" ht="25.5" hidden="1" customHeight="1">
      <c r="A96" s="80"/>
      <c r="B96" s="81" t="s">
        <v>92</v>
      </c>
      <c r="C96" s="66"/>
      <c r="D96" s="124"/>
      <c r="E96" s="124"/>
    </row>
    <row r="97" spans="1:5" ht="25.5" hidden="1" customHeight="1">
      <c r="A97" s="80"/>
      <c r="B97" s="81" t="s">
        <v>89</v>
      </c>
      <c r="C97" s="66"/>
      <c r="D97" s="124"/>
      <c r="E97" s="124">
        <v>0</v>
      </c>
    </row>
    <row r="98" spans="1:5" ht="25.5" hidden="1" customHeight="1">
      <c r="A98" s="80"/>
      <c r="B98" s="81" t="s">
        <v>88</v>
      </c>
      <c r="C98" s="66"/>
      <c r="D98" s="124"/>
      <c r="E98" s="124"/>
    </row>
    <row r="99" spans="1:5" ht="25.5" hidden="1" customHeight="1">
      <c r="A99" s="107"/>
      <c r="B99" s="195" t="s">
        <v>164</v>
      </c>
      <c r="C99" s="196">
        <f>+C100+C101+C102+C103+C104+C105+C106+C107+C108</f>
        <v>151</v>
      </c>
      <c r="D99" s="196">
        <f>+D100+D101+D102+D103+D104+D105+D106+D107+D108</f>
        <v>60</v>
      </c>
      <c r="E99" s="196">
        <f>+E100+E101+E102+E103+E104+E105+E106+E107+E108</f>
        <v>140</v>
      </c>
    </row>
    <row r="100" spans="1:5" ht="25.5" hidden="1" customHeight="1">
      <c r="A100" s="80"/>
      <c r="B100" s="81" t="s">
        <v>85</v>
      </c>
      <c r="C100" s="66">
        <v>26</v>
      </c>
      <c r="D100" s="124">
        <v>30</v>
      </c>
      <c r="E100" s="124">
        <v>25</v>
      </c>
    </row>
    <row r="101" spans="1:5" ht="25.5" hidden="1" customHeight="1">
      <c r="A101" s="80"/>
      <c r="B101" s="81" t="s">
        <v>140</v>
      </c>
      <c r="C101" s="66">
        <v>0</v>
      </c>
      <c r="D101" s="124">
        <v>0</v>
      </c>
      <c r="E101" s="124"/>
    </row>
    <row r="102" spans="1:5" ht="25.5" hidden="1" customHeight="1">
      <c r="A102" s="80"/>
      <c r="B102" s="81" t="s">
        <v>86</v>
      </c>
      <c r="C102" s="66">
        <v>8</v>
      </c>
      <c r="D102" s="124">
        <v>20</v>
      </c>
      <c r="E102" s="124">
        <v>10</v>
      </c>
    </row>
    <row r="103" spans="1:5" ht="25.5" hidden="1" customHeight="1">
      <c r="A103" s="80"/>
      <c r="B103" s="81" t="s">
        <v>87</v>
      </c>
      <c r="C103" s="66">
        <v>0</v>
      </c>
      <c r="D103" s="124">
        <v>0</v>
      </c>
      <c r="E103" s="124"/>
    </row>
    <row r="104" spans="1:5" ht="25.5" hidden="1" customHeight="1">
      <c r="A104" s="80"/>
      <c r="B104" s="81" t="s">
        <v>90</v>
      </c>
      <c r="C104" s="66">
        <v>0</v>
      </c>
      <c r="D104" s="124">
        <v>0</v>
      </c>
      <c r="E104" s="124">
        <v>5</v>
      </c>
    </row>
    <row r="105" spans="1:5" ht="25.5" hidden="1" customHeight="1">
      <c r="A105" s="80"/>
      <c r="B105" s="81" t="s">
        <v>91</v>
      </c>
      <c r="C105" s="66">
        <v>0</v>
      </c>
      <c r="D105" s="124">
        <v>0</v>
      </c>
      <c r="E105" s="124">
        <v>5</v>
      </c>
    </row>
    <row r="106" spans="1:5" ht="25.5" hidden="1" customHeight="1">
      <c r="A106" s="80"/>
      <c r="B106" s="81" t="s">
        <v>92</v>
      </c>
      <c r="C106" s="66">
        <v>114</v>
      </c>
      <c r="D106" s="124">
        <v>0</v>
      </c>
      <c r="E106" s="124">
        <v>90</v>
      </c>
    </row>
    <row r="107" spans="1:5" ht="25.5" hidden="1" customHeight="1">
      <c r="A107" s="80"/>
      <c r="B107" s="81" t="s">
        <v>89</v>
      </c>
      <c r="C107" s="66">
        <v>3</v>
      </c>
      <c r="D107" s="124">
        <v>10</v>
      </c>
      <c r="E107" s="124">
        <v>5</v>
      </c>
    </row>
    <row r="108" spans="1:5" ht="25.5" hidden="1" customHeight="1">
      <c r="A108" s="80"/>
      <c r="B108" s="81" t="s">
        <v>88</v>
      </c>
      <c r="C108" s="66">
        <v>0</v>
      </c>
      <c r="D108" s="124">
        <v>0</v>
      </c>
      <c r="E108" s="124"/>
    </row>
    <row r="109" spans="1:5" ht="25.5" hidden="1" customHeight="1">
      <c r="A109" s="107"/>
      <c r="B109" s="195" t="s">
        <v>165</v>
      </c>
      <c r="C109" s="196">
        <f>+C110+C111+C112+C113+C114+C115+C116+C117+C118</f>
        <v>229.5</v>
      </c>
      <c r="D109" s="196">
        <f>+D110+D111+D112+D113+D114+D115+D116+D117+D118</f>
        <v>60</v>
      </c>
      <c r="E109" s="196">
        <f>+E110+E111+E112+E113+E114+E115+E116+E117+E118</f>
        <v>220</v>
      </c>
    </row>
    <row r="110" spans="1:5" ht="25.5" hidden="1" customHeight="1">
      <c r="A110" s="80"/>
      <c r="B110" s="81" t="s">
        <v>85</v>
      </c>
      <c r="C110" s="66"/>
      <c r="D110" s="124">
        <v>60</v>
      </c>
      <c r="E110" s="124">
        <v>60</v>
      </c>
    </row>
    <row r="111" spans="1:5" ht="25.5" hidden="1" customHeight="1">
      <c r="A111" s="80"/>
      <c r="B111" s="81" t="s">
        <v>140</v>
      </c>
      <c r="C111" s="66"/>
      <c r="D111" s="124"/>
      <c r="E111" s="124"/>
    </row>
    <row r="112" spans="1:5" ht="25.5" hidden="1" customHeight="1">
      <c r="A112" s="80"/>
      <c r="B112" s="81" t="s">
        <v>86</v>
      </c>
      <c r="C112" s="66"/>
      <c r="D112" s="124"/>
      <c r="E112" s="124"/>
    </row>
    <row r="113" spans="1:9" ht="25.5" hidden="1" customHeight="1">
      <c r="A113" s="80"/>
      <c r="B113" s="81" t="s">
        <v>87</v>
      </c>
      <c r="C113" s="66"/>
      <c r="D113" s="124"/>
      <c r="E113" s="124"/>
    </row>
    <row r="114" spans="1:9" ht="25.5" hidden="1" customHeight="1">
      <c r="A114" s="80"/>
      <c r="B114" s="81" t="s">
        <v>167</v>
      </c>
      <c r="C114" s="66"/>
      <c r="D114" s="124"/>
      <c r="E114" s="124">
        <v>100</v>
      </c>
    </row>
    <row r="115" spans="1:9" ht="25.5" hidden="1" customHeight="1">
      <c r="A115" s="80"/>
      <c r="B115" s="81" t="s">
        <v>91</v>
      </c>
      <c r="C115" s="66"/>
      <c r="D115" s="124"/>
      <c r="E115" s="124"/>
    </row>
    <row r="116" spans="1:9" ht="25.5" hidden="1" customHeight="1">
      <c r="A116" s="80"/>
      <c r="B116" s="81" t="s">
        <v>92</v>
      </c>
      <c r="C116" s="66"/>
      <c r="D116" s="124"/>
      <c r="E116" s="124"/>
    </row>
    <row r="117" spans="1:9" ht="25.5" hidden="1" customHeight="1">
      <c r="A117" s="80"/>
      <c r="B117" s="81" t="s">
        <v>89</v>
      </c>
      <c r="C117" s="66"/>
      <c r="D117" s="124"/>
      <c r="E117" s="124"/>
    </row>
    <row r="118" spans="1:9" ht="25.5" hidden="1" customHeight="1">
      <c r="A118" s="80"/>
      <c r="B118" s="81" t="s">
        <v>88</v>
      </c>
      <c r="C118" s="66">
        <v>229.5</v>
      </c>
      <c r="D118" s="124"/>
      <c r="E118" s="124">
        <v>60</v>
      </c>
    </row>
    <row r="119" spans="1:9" ht="35.25" hidden="1" customHeight="1">
      <c r="A119" s="107"/>
      <c r="B119" s="195" t="s">
        <v>153</v>
      </c>
      <c r="C119" s="196">
        <f>+C120+C121+C122+C123+C124+C125+C126+C127+C128</f>
        <v>75010.656000000003</v>
      </c>
      <c r="D119" s="196">
        <f>+D120+D121+D122+D123+D124+D125+D126+D127+D128</f>
        <v>82700</v>
      </c>
      <c r="E119" s="196">
        <f>+E120+E121+E122+E123+E124+E125+E126+E127+E128</f>
        <v>72000</v>
      </c>
    </row>
    <row r="120" spans="1:9" ht="35.25" hidden="1" customHeight="1">
      <c r="A120" s="80"/>
      <c r="B120" s="81" t="s">
        <v>85</v>
      </c>
      <c r="C120" s="66">
        <v>46749.790999999997</v>
      </c>
      <c r="D120" s="124">
        <v>60000</v>
      </c>
      <c r="E120" s="124">
        <v>50500</v>
      </c>
    </row>
    <row r="121" spans="1:9" ht="35.25" hidden="1" customHeight="1">
      <c r="A121" s="80"/>
      <c r="B121" s="81" t="s">
        <v>140</v>
      </c>
      <c r="C121" s="66"/>
      <c r="D121" s="124"/>
      <c r="E121" s="124"/>
    </row>
    <row r="122" spans="1:9" ht="35.25" hidden="1" customHeight="1">
      <c r="A122" s="80"/>
      <c r="B122" s="81" t="s">
        <v>86</v>
      </c>
      <c r="C122" s="66">
        <v>9114.5130000000008</v>
      </c>
      <c r="D122" s="124">
        <v>8000</v>
      </c>
      <c r="E122" s="124">
        <v>7000</v>
      </c>
      <c r="F122" s="76">
        <v>7000</v>
      </c>
    </row>
    <row r="123" spans="1:9" ht="35.25" hidden="1" customHeight="1">
      <c r="A123" s="80"/>
      <c r="B123" s="81" t="s">
        <v>87</v>
      </c>
      <c r="C123" s="66">
        <v>3790.5659999999998</v>
      </c>
      <c r="D123" s="124">
        <v>3500</v>
      </c>
      <c r="E123" s="124">
        <v>2500</v>
      </c>
    </row>
    <row r="124" spans="1:9" ht="35.25" hidden="1" customHeight="1">
      <c r="A124" s="80"/>
      <c r="B124" s="81" t="s">
        <v>90</v>
      </c>
      <c r="C124" s="66">
        <v>5387.2309999999998</v>
      </c>
      <c r="D124" s="124">
        <v>4000</v>
      </c>
      <c r="E124" s="124">
        <v>5000</v>
      </c>
    </row>
    <row r="125" spans="1:9" ht="35.25" hidden="1" customHeight="1">
      <c r="A125" s="80"/>
      <c r="B125" s="81" t="s">
        <v>91</v>
      </c>
      <c r="C125" s="66">
        <v>3928.585</v>
      </c>
      <c r="D125" s="124">
        <v>3000</v>
      </c>
      <c r="E125" s="124">
        <v>3000</v>
      </c>
      <c r="F125" s="76">
        <v>3000</v>
      </c>
      <c r="I125" s="209"/>
    </row>
    <row r="126" spans="1:9" ht="35.25" hidden="1" customHeight="1">
      <c r="A126" s="80"/>
      <c r="B126" s="81" t="s">
        <v>92</v>
      </c>
      <c r="C126" s="66">
        <v>1018.994</v>
      </c>
      <c r="D126" s="124">
        <v>700</v>
      </c>
      <c r="E126" s="124">
        <v>1000</v>
      </c>
      <c r="F126" s="76">
        <v>1000</v>
      </c>
      <c r="I126" s="209"/>
    </row>
    <row r="127" spans="1:9" ht="35.25" hidden="1" customHeight="1">
      <c r="A127" s="80"/>
      <c r="B127" s="81" t="s">
        <v>89</v>
      </c>
      <c r="C127" s="66">
        <v>3099.1210000000001</v>
      </c>
      <c r="D127" s="124">
        <v>2000</v>
      </c>
      <c r="E127" s="124">
        <v>1500</v>
      </c>
      <c r="F127" s="76">
        <v>1500</v>
      </c>
      <c r="I127" s="209"/>
    </row>
    <row r="128" spans="1:9" ht="35.25" hidden="1" customHeight="1">
      <c r="A128" s="80"/>
      <c r="B128" s="81" t="s">
        <v>88</v>
      </c>
      <c r="C128" s="66">
        <v>1921.855</v>
      </c>
      <c r="D128" s="124">
        <v>1500</v>
      </c>
      <c r="E128" s="124">
        <v>1500</v>
      </c>
    </row>
    <row r="129" spans="1:10" ht="35.25" hidden="1" customHeight="1">
      <c r="A129" s="107"/>
      <c r="B129" s="195" t="s">
        <v>168</v>
      </c>
      <c r="C129" s="196">
        <f>+C130+C135+C136+C137+C138+C139+C140+C141+C142</f>
        <v>0</v>
      </c>
      <c r="D129" s="196">
        <f>+D130+D135+D136+D137+D138+D139+D140+D141+D142</f>
        <v>0</v>
      </c>
      <c r="E129" s="196">
        <f>+E130+E131+E132+E133+E134+E135+E136+E137+E138+E139+E140+E141+E142</f>
        <v>6149.7109999999993</v>
      </c>
    </row>
    <row r="130" spans="1:10" ht="35.25" hidden="1" customHeight="1">
      <c r="A130" s="80"/>
      <c r="B130" s="81" t="s">
        <v>85</v>
      </c>
      <c r="C130" s="66"/>
      <c r="D130" s="124"/>
      <c r="E130" s="124">
        <f>2500+19.711</f>
        <v>2519.7109999999998</v>
      </c>
    </row>
    <row r="131" spans="1:10" ht="35.25" hidden="1" customHeight="1">
      <c r="A131" s="80"/>
      <c r="B131" s="81" t="s">
        <v>169</v>
      </c>
      <c r="C131" s="66"/>
      <c r="D131" s="124"/>
      <c r="E131" s="124"/>
    </row>
    <row r="132" spans="1:10" ht="35.25" hidden="1" customHeight="1">
      <c r="A132" s="80"/>
      <c r="B132" s="81" t="s">
        <v>172</v>
      </c>
      <c r="C132" s="66"/>
      <c r="D132" s="124"/>
      <c r="E132" s="124">
        <v>210</v>
      </c>
    </row>
    <row r="133" spans="1:10" ht="35.25" hidden="1" customHeight="1">
      <c r="A133" s="80"/>
      <c r="B133" s="81" t="s">
        <v>170</v>
      </c>
      <c r="C133" s="66"/>
      <c r="D133" s="124"/>
      <c r="E133" s="124">
        <v>300</v>
      </c>
    </row>
    <row r="134" spans="1:10" ht="35.25" hidden="1" customHeight="1">
      <c r="A134" s="80"/>
      <c r="B134" s="81" t="s">
        <v>171</v>
      </c>
      <c r="C134" s="66"/>
      <c r="D134" s="124"/>
      <c r="E134" s="124">
        <v>2000</v>
      </c>
    </row>
    <row r="135" spans="1:10" ht="35.25" hidden="1" customHeight="1">
      <c r="A135" s="80"/>
      <c r="B135" s="81" t="s">
        <v>140</v>
      </c>
      <c r="C135" s="66"/>
      <c r="D135" s="124"/>
      <c r="E135" s="124"/>
    </row>
    <row r="136" spans="1:10" ht="35.25" hidden="1" customHeight="1">
      <c r="A136" s="80"/>
      <c r="B136" s="81" t="s">
        <v>86</v>
      </c>
      <c r="C136" s="66"/>
      <c r="D136" s="124"/>
      <c r="E136" s="124">
        <v>100</v>
      </c>
      <c r="F136" s="76">
        <v>7000</v>
      </c>
    </row>
    <row r="137" spans="1:10" ht="35.25" hidden="1" customHeight="1">
      <c r="A137" s="80"/>
      <c r="B137" s="81" t="s">
        <v>87</v>
      </c>
      <c r="C137" s="66"/>
      <c r="D137" s="124"/>
      <c r="E137" s="124">
        <v>120</v>
      </c>
    </row>
    <row r="138" spans="1:10" ht="35.25" hidden="1" customHeight="1">
      <c r="A138" s="80"/>
      <c r="B138" s="81" t="s">
        <v>90</v>
      </c>
      <c r="C138" s="66"/>
      <c r="D138" s="124"/>
      <c r="E138" s="124">
        <v>200</v>
      </c>
    </row>
    <row r="139" spans="1:10" ht="35.25" hidden="1" customHeight="1">
      <c r="A139" s="80"/>
      <c r="B139" s="81" t="s">
        <v>91</v>
      </c>
      <c r="C139" s="66"/>
      <c r="D139" s="124"/>
      <c r="E139" s="124">
        <v>150</v>
      </c>
      <c r="F139" s="76">
        <v>3000</v>
      </c>
      <c r="I139" s="209"/>
    </row>
    <row r="140" spans="1:10" ht="35.25" hidden="1" customHeight="1">
      <c r="A140" s="80"/>
      <c r="B140" s="81" t="s">
        <v>92</v>
      </c>
      <c r="C140" s="66"/>
      <c r="D140" s="124"/>
      <c r="E140" s="124">
        <v>300</v>
      </c>
      <c r="F140" s="76">
        <v>1000</v>
      </c>
      <c r="I140" s="209"/>
    </row>
    <row r="141" spans="1:10" ht="35.25" hidden="1" customHeight="1">
      <c r="A141" s="80"/>
      <c r="B141" s="81" t="s">
        <v>89</v>
      </c>
      <c r="C141" s="66"/>
      <c r="D141" s="124"/>
      <c r="E141" s="124">
        <v>100</v>
      </c>
      <c r="F141" s="76">
        <v>1500</v>
      </c>
      <c r="I141" s="209"/>
    </row>
    <row r="142" spans="1:10" ht="21.75" hidden="1" customHeight="1">
      <c r="A142" s="80"/>
      <c r="B142" s="81" t="s">
        <v>88</v>
      </c>
      <c r="C142" s="66"/>
      <c r="D142" s="124"/>
      <c r="E142" s="124">
        <v>150</v>
      </c>
    </row>
    <row r="143" spans="1:10" s="88" customFormat="1" ht="25.5" customHeight="1">
      <c r="A143" s="80">
        <v>11</v>
      </c>
      <c r="B143" s="87" t="s">
        <v>5</v>
      </c>
      <c r="C143" s="66">
        <v>538802.19999999995</v>
      </c>
      <c r="D143" s="163">
        <v>761424.27800000005</v>
      </c>
      <c r="E143" s="194">
        <v>907978.38399999996</v>
      </c>
      <c r="F143" s="162"/>
      <c r="I143" s="211"/>
      <c r="J143" s="211"/>
    </row>
    <row r="144" spans="1:10" ht="33.75" customHeight="1">
      <c r="A144" s="80">
        <v>12</v>
      </c>
      <c r="B144" s="81" t="s">
        <v>133</v>
      </c>
      <c r="C144" s="191">
        <v>5311.6459999999997</v>
      </c>
      <c r="D144" s="192">
        <v>5011.3</v>
      </c>
      <c r="E144" s="173">
        <v>5011.3</v>
      </c>
    </row>
    <row r="145" spans="1:12" s="89" customFormat="1" ht="23.25" hidden="1" customHeight="1">
      <c r="A145" s="80">
        <v>11</v>
      </c>
      <c r="B145" s="85" t="s">
        <v>112</v>
      </c>
      <c r="C145" s="98">
        <v>0</v>
      </c>
      <c r="D145" s="66">
        <v>0</v>
      </c>
      <c r="E145" s="66">
        <v>0</v>
      </c>
      <c r="I145" s="79"/>
      <c r="J145" s="79"/>
    </row>
    <row r="146" spans="1:12" s="89" customFormat="1" ht="78.75" hidden="1" customHeight="1">
      <c r="A146" s="80"/>
      <c r="B146" s="85" t="s">
        <v>182</v>
      </c>
      <c r="C146" s="98"/>
      <c r="D146" s="66"/>
      <c r="E146" s="66">
        <v>300</v>
      </c>
      <c r="I146" s="79"/>
      <c r="J146" s="79"/>
    </row>
    <row r="147" spans="1:12" s="89" customFormat="1" ht="86.25" hidden="1" customHeight="1">
      <c r="A147" s="80">
        <v>13</v>
      </c>
      <c r="B147" s="85" t="s">
        <v>181</v>
      </c>
      <c r="C147" s="98"/>
      <c r="D147" s="66"/>
      <c r="E147" s="66">
        <v>2000</v>
      </c>
      <c r="I147" s="79"/>
      <c r="J147" s="79"/>
    </row>
    <row r="148" spans="1:12" ht="35.25" customHeight="1">
      <c r="A148" s="107"/>
      <c r="B148" s="104" t="s">
        <v>8</v>
      </c>
      <c r="C148" s="105">
        <f>+C6+C17+C28+C39+C50+C51+C52+C53+C54+C55+C143+C144+C145</f>
        <v>1164863.5319999999</v>
      </c>
      <c r="D148" s="105">
        <f>+D6+D17+D28+D39+D50+D51+D52+D53+D54+D55+D143+D144+D145</f>
        <v>1470000.0000000002</v>
      </c>
      <c r="E148" s="207">
        <f>+E6+E17+E28+E39+E50+E51+E52+E53+E54+E55+E143+E144+E145</f>
        <v>1720000</v>
      </c>
      <c r="F148" s="76">
        <f>+E148-E143-E144</f>
        <v>807010.31599999999</v>
      </c>
      <c r="G148" s="76">
        <f>+D148-D143-D144</f>
        <v>703564.42200000014</v>
      </c>
      <c r="H148" s="76">
        <f>+F148-G148</f>
        <v>103445.89399999985</v>
      </c>
      <c r="J148" s="210"/>
      <c r="L148" s="205"/>
    </row>
    <row r="149" spans="1:12" ht="31.5" customHeight="1">
      <c r="A149" s="80">
        <v>13</v>
      </c>
      <c r="B149" s="85" t="s">
        <v>9</v>
      </c>
      <c r="C149" s="67">
        <v>156556.94140000001</v>
      </c>
      <c r="D149" s="67">
        <v>125266.984</v>
      </c>
      <c r="E149" s="208">
        <v>120866.3946</v>
      </c>
      <c r="F149" s="67">
        <v>118500</v>
      </c>
    </row>
    <row r="150" spans="1:12" ht="41.25" customHeight="1">
      <c r="A150" s="80">
        <v>14</v>
      </c>
      <c r="B150" s="85" t="s">
        <v>184</v>
      </c>
      <c r="C150" s="67">
        <v>800</v>
      </c>
      <c r="D150" s="67">
        <v>0</v>
      </c>
      <c r="E150" s="67">
        <v>2000</v>
      </c>
      <c r="F150" s="67">
        <v>0</v>
      </c>
    </row>
    <row r="151" spans="1:12" ht="57.75" customHeight="1">
      <c r="A151" s="80">
        <v>15</v>
      </c>
      <c r="B151" s="85" t="s">
        <v>75</v>
      </c>
      <c r="C151" s="67">
        <v>165872.416</v>
      </c>
      <c r="D151" s="67">
        <v>101500</v>
      </c>
      <c r="E151" s="67">
        <v>225303.81200000001</v>
      </c>
      <c r="F151" s="67">
        <v>225303.81200000001</v>
      </c>
    </row>
    <row r="152" spans="1:12" ht="34.5" customHeight="1">
      <c r="A152" s="80">
        <v>16</v>
      </c>
      <c r="B152" s="85" t="s">
        <v>10</v>
      </c>
      <c r="C152" s="66">
        <v>242745.46100000001</v>
      </c>
      <c r="D152" s="193">
        <v>239733.016</v>
      </c>
      <c r="E152" s="174">
        <f>382173.9643+321655.8291</f>
        <v>703829.79339999997</v>
      </c>
      <c r="F152" s="174">
        <f>382173.9643+321655.8291</f>
        <v>703829.79339999997</v>
      </c>
    </row>
    <row r="153" spans="1:12" ht="35.25" customHeight="1">
      <c r="A153" s="107"/>
      <c r="B153" s="106" t="s">
        <v>11</v>
      </c>
      <c r="C153" s="105">
        <f>SUM(C148:C152)</f>
        <v>1730838.3503999999</v>
      </c>
      <c r="D153" s="105">
        <f>SUM(D148:D152)</f>
        <v>1936500.0000000002</v>
      </c>
      <c r="E153" s="207">
        <f>SUM(E148:E152)</f>
        <v>2772000</v>
      </c>
      <c r="F153" s="205">
        <f>SUM(F149:F152)</f>
        <v>1047633.6054</v>
      </c>
      <c r="G153" s="164"/>
      <c r="I153" s="212"/>
    </row>
    <row r="154" spans="1:12" ht="16.5" hidden="1">
      <c r="A154" s="91"/>
      <c r="B154" s="92" t="s">
        <v>69</v>
      </c>
      <c r="C154" s="64">
        <f>+C153-C152-C143-C144</f>
        <v>943979.04339999985</v>
      </c>
      <c r="D154" s="65">
        <f>+D153-D152-D143-D144</f>
        <v>930331.40600000008</v>
      </c>
      <c r="E154" s="65">
        <f>+E148-E144-E143</f>
        <v>807010.31599999999</v>
      </c>
    </row>
    <row r="155" spans="1:12" ht="24.75" customHeight="1">
      <c r="C155" s="180"/>
      <c r="D155" s="200"/>
    </row>
    <row r="156" spans="1:12" customFormat="1" ht="34.5" customHeight="1">
      <c r="A156" s="235" t="s">
        <v>180</v>
      </c>
      <c r="B156" s="235"/>
      <c r="C156" s="235"/>
      <c r="D156" s="235"/>
      <c r="E156" s="235"/>
      <c r="I156" s="209"/>
      <c r="J156" s="209"/>
    </row>
    <row r="157" spans="1:12" ht="14.25" customHeight="1">
      <c r="A157" s="246" t="s">
        <v>188</v>
      </c>
      <c r="B157" s="246"/>
    </row>
  </sheetData>
  <mergeCells count="15">
    <mergeCell ref="A157:B157"/>
    <mergeCell ref="I57:I58"/>
    <mergeCell ref="J57:J58"/>
    <mergeCell ref="I59:I60"/>
    <mergeCell ref="J59:J60"/>
    <mergeCell ref="A156:E156"/>
    <mergeCell ref="D2:E2"/>
    <mergeCell ref="C1:E1"/>
    <mergeCell ref="A3:E3"/>
    <mergeCell ref="A69:B69"/>
    <mergeCell ref="A56:B56"/>
    <mergeCell ref="A38:D38"/>
    <mergeCell ref="A27:D27"/>
    <mergeCell ref="A16:D16"/>
    <mergeCell ref="A49:D49"/>
  </mergeCells>
  <pageMargins left="0" right="0" top="0.27" bottom="0.27" header="0.16" footer="0.17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zoomScaleNormal="100" workbookViewId="0">
      <selection activeCell="AA2" sqref="AA2:AC2"/>
    </sheetView>
  </sheetViews>
  <sheetFormatPr defaultRowHeight="24" customHeight="1"/>
  <cols>
    <col min="1" max="1" width="5.85546875" style="108" customWidth="1"/>
    <col min="2" max="2" width="45.140625" style="18" customWidth="1"/>
    <col min="3" max="3" width="16" style="54" hidden="1" customWidth="1"/>
    <col min="4" max="4" width="17" style="54" hidden="1" customWidth="1"/>
    <col min="5" max="5" width="17.7109375" style="54" hidden="1" customWidth="1"/>
    <col min="6" max="6" width="16.7109375" style="50" hidden="1" customWidth="1"/>
    <col min="7" max="7" width="18" style="50" hidden="1" customWidth="1"/>
    <col min="8" max="8" width="15.42578125" style="50" hidden="1" customWidth="1"/>
    <col min="9" max="10" width="16.140625" style="175" hidden="1" customWidth="1"/>
    <col min="11" max="11" width="15.42578125" style="50" hidden="1" customWidth="1"/>
    <col min="12" max="12" width="13.7109375" style="140" hidden="1" customWidth="1"/>
    <col min="13" max="13" width="19.42578125" style="140" hidden="1" customWidth="1"/>
    <col min="14" max="14" width="14.85546875" style="50" hidden="1" customWidth="1"/>
    <col min="15" max="15" width="16" style="50" hidden="1" customWidth="1"/>
    <col min="16" max="16" width="13.85546875" style="50" hidden="1" customWidth="1"/>
    <col min="17" max="17" width="14.5703125" style="50" hidden="1" customWidth="1"/>
    <col min="18" max="18" width="18.5703125" style="50" hidden="1" customWidth="1"/>
    <col min="19" max="19" width="21" style="50" hidden="1" customWidth="1"/>
    <col min="20" max="20" width="19.42578125" style="50" hidden="1" customWidth="1"/>
    <col min="21" max="21" width="16" style="50" hidden="1" customWidth="1"/>
    <col min="22" max="22" width="19.85546875" style="50" hidden="1" customWidth="1"/>
    <col min="23" max="23" width="15.28515625" style="50" hidden="1" customWidth="1"/>
    <col min="24" max="24" width="12.140625" style="50" hidden="1" customWidth="1"/>
    <col min="25" max="25" width="14.7109375" style="50" hidden="1" customWidth="1"/>
    <col min="26" max="26" width="12.85546875" style="50" hidden="1" customWidth="1"/>
    <col min="27" max="27" width="15.42578125" style="175" customWidth="1"/>
    <col min="28" max="28" width="15.28515625" style="175" customWidth="1"/>
    <col min="29" max="29" width="16.5703125" style="136" customWidth="1"/>
    <col min="30" max="30" width="19" style="19" bestFit="1" customWidth="1"/>
    <col min="31" max="31" width="12.85546875" style="19" customWidth="1"/>
    <col min="32" max="16384" width="9.140625" style="19"/>
  </cols>
  <sheetData>
    <row r="1" spans="1:30" ht="15.75" customHeight="1">
      <c r="AB1" s="258" t="s">
        <v>130</v>
      </c>
      <c r="AC1" s="258"/>
    </row>
    <row r="2" spans="1:30" ht="60.75" customHeight="1">
      <c r="A2" s="232"/>
      <c r="B2" s="259"/>
      <c r="C2" s="259"/>
      <c r="AA2" s="218" t="s">
        <v>193</v>
      </c>
      <c r="AB2" s="218"/>
      <c r="AC2" s="218"/>
    </row>
    <row r="3" spans="1:30" ht="60" customHeight="1">
      <c r="A3" s="260" t="s">
        <v>175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</row>
    <row r="4" spans="1:30" s="145" customFormat="1" ht="27" customHeight="1">
      <c r="A4" s="261" t="s">
        <v>13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</row>
    <row r="5" spans="1:30" s="145" customFormat="1" ht="26.25" customHeight="1">
      <c r="A5" s="248" t="s">
        <v>156</v>
      </c>
      <c r="B5" s="248" t="s">
        <v>119</v>
      </c>
      <c r="C5" s="176" t="s">
        <v>85</v>
      </c>
      <c r="D5" s="45" t="s">
        <v>73</v>
      </c>
      <c r="E5" s="45" t="s">
        <v>72</v>
      </c>
      <c r="F5" s="45" t="s">
        <v>74</v>
      </c>
      <c r="G5" s="45" t="s">
        <v>73</v>
      </c>
      <c r="H5" s="45" t="s">
        <v>72</v>
      </c>
      <c r="I5" s="123" t="s">
        <v>74</v>
      </c>
      <c r="J5" s="123" t="s">
        <v>73</v>
      </c>
      <c r="K5" s="45" t="s">
        <v>72</v>
      </c>
      <c r="L5" s="45" t="s">
        <v>74</v>
      </c>
      <c r="M5" s="45" t="s">
        <v>73</v>
      </c>
      <c r="N5" s="45" t="s">
        <v>72</v>
      </c>
      <c r="O5" s="45" t="s">
        <v>74</v>
      </c>
      <c r="P5" s="45" t="s">
        <v>73</v>
      </c>
      <c r="Q5" s="45" t="s">
        <v>72</v>
      </c>
      <c r="R5" s="45" t="s">
        <v>74</v>
      </c>
      <c r="S5" s="45" t="s">
        <v>73</v>
      </c>
      <c r="T5" s="45" t="s">
        <v>72</v>
      </c>
      <c r="U5" s="45" t="s">
        <v>74</v>
      </c>
      <c r="V5" s="45" t="s">
        <v>73</v>
      </c>
      <c r="W5" s="45" t="s">
        <v>72</v>
      </c>
      <c r="X5" s="45" t="s">
        <v>74</v>
      </c>
      <c r="Y5" s="45" t="s">
        <v>73</v>
      </c>
      <c r="Z5" s="45" t="s">
        <v>72</v>
      </c>
      <c r="AA5" s="250" t="s">
        <v>160</v>
      </c>
      <c r="AB5" s="250" t="s">
        <v>161</v>
      </c>
      <c r="AC5" s="255" t="s">
        <v>162</v>
      </c>
    </row>
    <row r="6" spans="1:30" ht="34.5" customHeight="1">
      <c r="A6" s="249"/>
      <c r="B6" s="249"/>
      <c r="C6" s="45" t="s">
        <v>74</v>
      </c>
      <c r="D6" s="31">
        <v>79018.2</v>
      </c>
      <c r="E6" s="31"/>
      <c r="F6" s="44">
        <v>38300</v>
      </c>
      <c r="G6" s="44">
        <v>49000</v>
      </c>
      <c r="H6" s="31"/>
      <c r="I6" s="123">
        <v>30307.8</v>
      </c>
      <c r="J6" s="123">
        <v>40450</v>
      </c>
      <c r="K6" s="45"/>
      <c r="L6" s="45">
        <v>29718.7</v>
      </c>
      <c r="M6" s="45">
        <v>37135</v>
      </c>
      <c r="N6" s="31"/>
      <c r="O6" s="30">
        <v>15468.8</v>
      </c>
      <c r="P6" s="31">
        <v>16680</v>
      </c>
      <c r="Q6" s="31"/>
      <c r="R6" s="30">
        <v>22618</v>
      </c>
      <c r="S6" s="31">
        <v>32173.200000000001</v>
      </c>
      <c r="T6" s="31"/>
      <c r="U6" s="30">
        <v>48702.741000000002</v>
      </c>
      <c r="V6" s="31">
        <v>36355.696000000004</v>
      </c>
      <c r="W6" s="31"/>
      <c r="X6" s="30">
        <v>24767.806</v>
      </c>
      <c r="Y6" s="31">
        <v>36099.998</v>
      </c>
      <c r="Z6" s="31"/>
      <c r="AA6" s="251"/>
      <c r="AB6" s="251"/>
      <c r="AC6" s="256"/>
    </row>
    <row r="7" spans="1:30" ht="24.75" customHeight="1">
      <c r="A7" s="109">
        <v>1</v>
      </c>
      <c r="B7" s="181" t="s">
        <v>70</v>
      </c>
      <c r="C7" s="30">
        <v>58004.728999999999</v>
      </c>
      <c r="D7" s="36">
        <v>11126.2</v>
      </c>
      <c r="E7" s="36"/>
      <c r="F7" s="44">
        <v>3800</v>
      </c>
      <c r="G7" s="44">
        <v>7448</v>
      </c>
      <c r="H7" s="36"/>
      <c r="I7" s="123">
        <v>1000.8</v>
      </c>
      <c r="J7" s="123">
        <v>1700</v>
      </c>
      <c r="K7" s="45"/>
      <c r="L7" s="31">
        <v>6766.9</v>
      </c>
      <c r="M7" s="36">
        <v>4180</v>
      </c>
      <c r="N7" s="36"/>
      <c r="O7" s="30">
        <v>11761.7</v>
      </c>
      <c r="P7" s="36">
        <v>1400</v>
      </c>
      <c r="Q7" s="36"/>
      <c r="R7" s="30">
        <v>45454</v>
      </c>
      <c r="S7" s="36">
        <v>66475.899999999994</v>
      </c>
      <c r="T7" s="36"/>
      <c r="U7" s="30"/>
      <c r="V7" s="36"/>
      <c r="W7" s="36"/>
      <c r="X7" s="30">
        <v>3634.3719999999998</v>
      </c>
      <c r="Y7" s="36">
        <v>2685.6</v>
      </c>
      <c r="Z7" s="36"/>
      <c r="AA7" s="67">
        <v>323964.89</v>
      </c>
      <c r="AB7" s="66">
        <v>519954</v>
      </c>
      <c r="AC7" s="66">
        <f>+[2]Sheet2!$G$23</f>
        <v>530864</v>
      </c>
    </row>
    <row r="8" spans="1:30" ht="34.5" customHeight="1">
      <c r="A8" s="109">
        <v>2</v>
      </c>
      <c r="B8" s="21" t="s">
        <v>15</v>
      </c>
      <c r="C8" s="30">
        <v>3780.3290000000002</v>
      </c>
      <c r="D8" s="36"/>
      <c r="E8" s="36"/>
      <c r="F8" s="44">
        <v>400</v>
      </c>
      <c r="G8" s="44">
        <v>400</v>
      </c>
      <c r="H8" s="36"/>
      <c r="I8" s="123">
        <v>0</v>
      </c>
      <c r="J8" s="123">
        <v>2000</v>
      </c>
      <c r="K8" s="55"/>
      <c r="L8" s="30"/>
      <c r="M8" s="36"/>
      <c r="N8" s="36"/>
      <c r="O8" s="30"/>
      <c r="P8" s="36"/>
      <c r="Q8" s="36"/>
      <c r="R8" s="30"/>
      <c r="S8" s="36"/>
      <c r="T8" s="36"/>
      <c r="U8" s="30"/>
      <c r="V8" s="36"/>
      <c r="W8" s="36"/>
      <c r="X8" s="30"/>
      <c r="Y8" s="36"/>
      <c r="Z8" s="36"/>
      <c r="AA8" s="67">
        <v>42614.076999999997</v>
      </c>
      <c r="AB8" s="66">
        <v>81853.850000000006</v>
      </c>
      <c r="AC8" s="66">
        <f>+[2]Sheet2!$G$43</f>
        <v>95000</v>
      </c>
      <c r="AD8" s="177"/>
    </row>
    <row r="9" spans="1:30" ht="22.5" customHeight="1">
      <c r="A9" s="109">
        <v>3</v>
      </c>
      <c r="B9" s="182" t="s">
        <v>93</v>
      </c>
      <c r="C9" s="30"/>
      <c r="D9" s="36"/>
      <c r="E9" s="36"/>
      <c r="F9" s="44">
        <v>1200</v>
      </c>
      <c r="G9" s="44">
        <v>1200</v>
      </c>
      <c r="H9" s="36"/>
      <c r="I9" s="123">
        <v>600</v>
      </c>
      <c r="J9" s="123">
        <v>650</v>
      </c>
      <c r="K9" s="55"/>
      <c r="L9" s="45">
        <v>600</v>
      </c>
      <c r="M9" s="45">
        <v>600</v>
      </c>
      <c r="N9" s="36"/>
      <c r="O9" s="30">
        <v>541.9</v>
      </c>
      <c r="P9" s="36">
        <v>550</v>
      </c>
      <c r="Q9" s="36"/>
      <c r="R9" s="30"/>
      <c r="S9" s="36"/>
      <c r="T9" s="36"/>
      <c r="U9" s="30">
        <v>538.16999999999996</v>
      </c>
      <c r="V9" s="36">
        <v>550</v>
      </c>
      <c r="W9" s="36"/>
      <c r="X9" s="30">
        <v>541.5</v>
      </c>
      <c r="Y9" s="36">
        <v>541.5</v>
      </c>
      <c r="Z9" s="36"/>
      <c r="AA9" s="67"/>
      <c r="AB9" s="66"/>
      <c r="AC9" s="66">
        <f>+[2]Sheet2!$G$59</f>
        <v>11990</v>
      </c>
    </row>
    <row r="10" spans="1:30" ht="21" customHeight="1">
      <c r="A10" s="109">
        <v>4</v>
      </c>
      <c r="B10" s="182" t="s">
        <v>94</v>
      </c>
      <c r="C10" s="30"/>
      <c r="D10" s="36"/>
      <c r="E10" s="36"/>
      <c r="F10" s="44"/>
      <c r="G10" s="44"/>
      <c r="H10" s="36"/>
      <c r="I10" s="123"/>
      <c r="J10" s="123"/>
      <c r="K10" s="55"/>
      <c r="L10" s="45"/>
      <c r="M10" s="45"/>
      <c r="N10" s="36"/>
      <c r="O10" s="30"/>
      <c r="P10" s="36"/>
      <c r="Q10" s="36"/>
      <c r="R10" s="30"/>
      <c r="S10" s="36"/>
      <c r="T10" s="36"/>
      <c r="U10" s="30">
        <v>7508.24</v>
      </c>
      <c r="V10" s="36">
        <v>5749.9979999999996</v>
      </c>
      <c r="W10" s="36"/>
      <c r="X10" s="30"/>
      <c r="Y10" s="36"/>
      <c r="Z10" s="36"/>
      <c r="AA10" s="67"/>
      <c r="AB10" s="66">
        <v>500</v>
      </c>
      <c r="AC10" s="66">
        <f>+[2]Sheet2!$G$106</f>
        <v>1000</v>
      </c>
    </row>
    <row r="11" spans="1:30" ht="21.75" customHeight="1">
      <c r="A11" s="109">
        <v>5</v>
      </c>
      <c r="B11" s="182" t="s">
        <v>124</v>
      </c>
      <c r="C11" s="30"/>
      <c r="D11" s="36"/>
      <c r="E11" s="36"/>
      <c r="F11" s="44"/>
      <c r="G11" s="44">
        <v>2000</v>
      </c>
      <c r="H11" s="36"/>
      <c r="I11" s="123">
        <v>163</v>
      </c>
      <c r="J11" s="123">
        <v>1000</v>
      </c>
      <c r="K11" s="45"/>
      <c r="L11" s="30"/>
      <c r="M11" s="36"/>
      <c r="N11" s="36"/>
      <c r="O11" s="30">
        <v>300</v>
      </c>
      <c r="P11" s="36"/>
      <c r="Q11" s="36"/>
      <c r="R11" s="30"/>
      <c r="S11" s="36"/>
      <c r="T11" s="36"/>
      <c r="U11" s="30"/>
      <c r="V11" s="36"/>
      <c r="W11" s="36"/>
      <c r="X11" s="30"/>
      <c r="Y11" s="36">
        <v>170</v>
      </c>
      <c r="Z11" s="36"/>
      <c r="AA11" s="67"/>
      <c r="AB11" s="66"/>
      <c r="AC11" s="66"/>
    </row>
    <row r="12" spans="1:30" ht="21" customHeight="1">
      <c r="A12" s="109">
        <v>6</v>
      </c>
      <c r="B12" s="182" t="s">
        <v>95</v>
      </c>
      <c r="C12" s="30"/>
      <c r="D12" s="36"/>
      <c r="E12" s="36"/>
      <c r="F12" s="44"/>
      <c r="G12" s="44"/>
      <c r="H12" s="36"/>
      <c r="I12" s="123"/>
      <c r="J12" s="123"/>
      <c r="K12" s="45"/>
      <c r="L12" s="30"/>
      <c r="M12" s="36"/>
      <c r="N12" s="36"/>
      <c r="O12" s="30"/>
      <c r="P12" s="36"/>
      <c r="Q12" s="36"/>
      <c r="R12" s="30"/>
      <c r="S12" s="36"/>
      <c r="T12" s="36"/>
      <c r="U12" s="30">
        <v>1321.44</v>
      </c>
      <c r="V12" s="36"/>
      <c r="W12" s="36"/>
      <c r="X12" s="30"/>
      <c r="Y12" s="36"/>
      <c r="Z12" s="36"/>
      <c r="AA12" s="67"/>
      <c r="AB12" s="66"/>
      <c r="AC12" s="66">
        <f>+[2]Sheet2!$G$123</f>
        <v>0</v>
      </c>
    </row>
    <row r="13" spans="1:30" ht="24" customHeight="1">
      <c r="A13" s="109">
        <v>7</v>
      </c>
      <c r="B13" s="182" t="s">
        <v>125</v>
      </c>
      <c r="C13" s="30"/>
      <c r="D13" s="36">
        <v>73075.600000000006</v>
      </c>
      <c r="E13" s="36"/>
      <c r="F13" s="44">
        <v>7275</v>
      </c>
      <c r="G13" s="44">
        <v>7068</v>
      </c>
      <c r="H13" s="36"/>
      <c r="I13" s="123">
        <v>1920</v>
      </c>
      <c r="J13" s="123">
        <v>1920</v>
      </c>
      <c r="K13" s="45"/>
      <c r="L13" s="45">
        <v>1700</v>
      </c>
      <c r="M13" s="45">
        <v>1700</v>
      </c>
      <c r="N13" s="36"/>
      <c r="O13" s="30">
        <v>1380</v>
      </c>
      <c r="P13" s="36">
        <v>1500</v>
      </c>
      <c r="Q13" s="36"/>
      <c r="R13" s="30">
        <v>3000</v>
      </c>
      <c r="S13" s="36">
        <v>3550</v>
      </c>
      <c r="T13" s="36"/>
      <c r="U13" s="30">
        <v>1320.4590000000001</v>
      </c>
      <c r="V13" s="36">
        <v>1320</v>
      </c>
      <c r="W13" s="36"/>
      <c r="X13" s="30">
        <v>1600</v>
      </c>
      <c r="Y13" s="36">
        <v>1600</v>
      </c>
      <c r="Z13" s="36"/>
      <c r="AA13" s="67"/>
      <c r="AB13" s="66"/>
      <c r="AC13" s="66"/>
    </row>
    <row r="14" spans="1:30" ht="24" customHeight="1">
      <c r="A14" s="109">
        <v>8</v>
      </c>
      <c r="B14" s="182" t="s">
        <v>102</v>
      </c>
      <c r="C14" s="30">
        <v>56049.993000000002</v>
      </c>
      <c r="D14" s="36">
        <v>3000</v>
      </c>
      <c r="E14" s="40"/>
      <c r="F14" s="44">
        <v>1112</v>
      </c>
      <c r="G14" s="44">
        <v>1320</v>
      </c>
      <c r="H14" s="36"/>
      <c r="I14" s="67"/>
      <c r="J14" s="130"/>
      <c r="K14" s="36"/>
      <c r="L14" s="30"/>
      <c r="M14" s="36"/>
      <c r="N14" s="36"/>
      <c r="O14" s="30"/>
      <c r="P14" s="36"/>
      <c r="Q14" s="36"/>
      <c r="R14" s="30"/>
      <c r="S14" s="36"/>
      <c r="T14" s="36"/>
      <c r="U14" s="30"/>
      <c r="V14" s="36"/>
      <c r="W14" s="36"/>
      <c r="X14" s="30"/>
      <c r="Y14" s="36"/>
      <c r="Z14" s="36"/>
      <c r="AA14" s="67">
        <v>135745.64499999999</v>
      </c>
      <c r="AB14" s="66">
        <v>155500</v>
      </c>
      <c r="AC14" s="66">
        <f>+[2]Sheet2!$G$155</f>
        <v>177942</v>
      </c>
    </row>
    <row r="15" spans="1:30" ht="24" customHeight="1">
      <c r="A15" s="109">
        <v>9</v>
      </c>
      <c r="B15" s="182" t="s">
        <v>78</v>
      </c>
      <c r="C15" s="30">
        <v>1565</v>
      </c>
      <c r="D15" s="36">
        <v>2000</v>
      </c>
      <c r="E15" s="40"/>
      <c r="F15" s="44">
        <v>1550</v>
      </c>
      <c r="G15" s="44">
        <v>3380</v>
      </c>
      <c r="H15" s="36"/>
      <c r="I15" s="123">
        <v>1022.2</v>
      </c>
      <c r="J15" s="123">
        <v>1000</v>
      </c>
      <c r="K15" s="45"/>
      <c r="L15" s="30"/>
      <c r="M15" s="36"/>
      <c r="N15" s="36"/>
      <c r="O15" s="30"/>
      <c r="P15" s="36"/>
      <c r="Q15" s="36"/>
      <c r="R15" s="30"/>
      <c r="S15" s="36"/>
      <c r="T15" s="36"/>
      <c r="U15" s="30">
        <v>2147.9949999999999</v>
      </c>
      <c r="V15" s="36">
        <v>2350</v>
      </c>
      <c r="W15" s="36"/>
      <c r="X15" s="30">
        <v>1048.9000000000001</v>
      </c>
      <c r="Y15" s="36">
        <v>1400</v>
      </c>
      <c r="Z15" s="36"/>
      <c r="AA15" s="67">
        <v>19771.7</v>
      </c>
      <c r="AB15" s="66">
        <v>13654</v>
      </c>
      <c r="AC15" s="66">
        <f>+[2]Sheet2!$G$158</f>
        <v>19890</v>
      </c>
    </row>
    <row r="16" spans="1:30" ht="24" customHeight="1">
      <c r="A16" s="109">
        <v>10</v>
      </c>
      <c r="B16" s="182" t="s">
        <v>79</v>
      </c>
      <c r="C16" s="30">
        <v>0</v>
      </c>
      <c r="D16" s="36"/>
      <c r="E16" s="40"/>
      <c r="F16" s="44"/>
      <c r="G16" s="44"/>
      <c r="H16" s="36"/>
      <c r="I16" s="123">
        <v>795</v>
      </c>
      <c r="J16" s="123">
        <v>1000</v>
      </c>
      <c r="K16" s="55"/>
      <c r="L16" s="30"/>
      <c r="M16" s="36"/>
      <c r="N16" s="36"/>
      <c r="O16" s="30"/>
      <c r="P16" s="36"/>
      <c r="Q16" s="36"/>
      <c r="R16" s="30"/>
      <c r="S16" s="36"/>
      <c r="T16" s="36"/>
      <c r="U16" s="30"/>
      <c r="V16" s="36"/>
      <c r="W16" s="36"/>
      <c r="X16" s="30"/>
      <c r="Y16" s="36"/>
      <c r="Z16" s="36"/>
      <c r="AA16" s="67">
        <v>24511.218000000001</v>
      </c>
      <c r="AB16" s="66">
        <v>35000</v>
      </c>
      <c r="AC16" s="66">
        <f>+[2]Sheet2!$G$184</f>
        <v>40000</v>
      </c>
    </row>
    <row r="17" spans="1:30" ht="24" customHeight="1">
      <c r="A17" s="109">
        <v>11</v>
      </c>
      <c r="B17" s="186" t="s">
        <v>108</v>
      </c>
      <c r="C17" s="30"/>
      <c r="D17" s="36">
        <v>0</v>
      </c>
      <c r="E17" s="36"/>
      <c r="F17" s="30"/>
      <c r="G17" s="36"/>
      <c r="H17" s="36"/>
      <c r="I17" s="123">
        <v>0</v>
      </c>
      <c r="J17" s="123">
        <v>500</v>
      </c>
      <c r="K17" s="55"/>
      <c r="L17" s="30"/>
      <c r="M17" s="36"/>
      <c r="N17" s="36"/>
      <c r="O17" s="30"/>
      <c r="P17" s="36"/>
      <c r="Q17" s="36"/>
      <c r="R17" s="30"/>
      <c r="S17" s="36"/>
      <c r="T17" s="36"/>
      <c r="U17" s="30"/>
      <c r="V17" s="36">
        <v>1280.25</v>
      </c>
      <c r="W17" s="36"/>
      <c r="X17" s="30"/>
      <c r="Y17" s="36"/>
      <c r="Z17" s="36"/>
      <c r="AA17" s="67"/>
      <c r="AB17" s="66"/>
      <c r="AC17" s="66"/>
    </row>
    <row r="18" spans="1:30" ht="24" customHeight="1">
      <c r="A18" s="109">
        <v>12</v>
      </c>
      <c r="B18" s="182" t="s">
        <v>80</v>
      </c>
      <c r="C18" s="30">
        <v>3676.1320000000001</v>
      </c>
      <c r="D18" s="36"/>
      <c r="E18" s="36"/>
      <c r="F18" s="30"/>
      <c r="G18" s="44">
        <v>500</v>
      </c>
      <c r="H18" s="36"/>
      <c r="I18" s="123">
        <v>150</v>
      </c>
      <c r="J18" s="123">
        <v>200</v>
      </c>
      <c r="K18" s="45"/>
      <c r="L18" s="30"/>
      <c r="M18" s="36"/>
      <c r="N18" s="36"/>
      <c r="O18" s="30"/>
      <c r="P18" s="36"/>
      <c r="Q18" s="36"/>
      <c r="R18" s="30"/>
      <c r="S18" s="36"/>
      <c r="T18" s="36"/>
      <c r="U18" s="30"/>
      <c r="V18" s="36"/>
      <c r="W18" s="36"/>
      <c r="X18" s="30"/>
      <c r="Y18" s="36"/>
      <c r="Z18" s="36"/>
      <c r="AA18" s="67"/>
      <c r="AB18" s="66"/>
      <c r="AC18" s="66">
        <f>+[2]Sheet2!$G$109</f>
        <v>3000</v>
      </c>
    </row>
    <row r="19" spans="1:30" ht="24" customHeight="1">
      <c r="A19" s="109">
        <v>13</v>
      </c>
      <c r="B19" s="182" t="s">
        <v>97</v>
      </c>
      <c r="C19" s="30"/>
      <c r="D19" s="36"/>
      <c r="E19" s="36"/>
      <c r="F19" s="30"/>
      <c r="G19" s="44"/>
      <c r="H19" s="36"/>
      <c r="I19" s="67"/>
      <c r="J19" s="130"/>
      <c r="K19" s="36"/>
      <c r="L19" s="45">
        <v>48</v>
      </c>
      <c r="M19" s="45">
        <v>60</v>
      </c>
      <c r="N19" s="36"/>
      <c r="O19" s="30">
        <v>64</v>
      </c>
      <c r="P19" s="36">
        <v>100</v>
      </c>
      <c r="Q19" s="36"/>
      <c r="R19" s="30"/>
      <c r="S19" s="36"/>
      <c r="T19" s="36"/>
      <c r="U19" s="30"/>
      <c r="V19" s="36"/>
      <c r="W19" s="36"/>
      <c r="X19" s="30"/>
      <c r="Y19" s="36"/>
      <c r="Z19" s="36"/>
      <c r="AA19" s="67"/>
      <c r="AB19" s="66"/>
      <c r="AC19" s="66"/>
    </row>
    <row r="20" spans="1:30" ht="24" customHeight="1">
      <c r="A20" s="109">
        <v>14</v>
      </c>
      <c r="B20" s="182" t="s">
        <v>103</v>
      </c>
      <c r="C20" s="30"/>
      <c r="D20" s="36"/>
      <c r="E20" s="36"/>
      <c r="F20" s="30"/>
      <c r="G20" s="44"/>
      <c r="H20" s="36"/>
      <c r="I20" s="123">
        <v>3237.7</v>
      </c>
      <c r="J20" s="123">
        <v>4300</v>
      </c>
      <c r="K20" s="45"/>
      <c r="L20" s="30">
        <v>19106.5</v>
      </c>
      <c r="M20" s="36"/>
      <c r="N20" s="36"/>
      <c r="O20" s="30"/>
      <c r="P20" s="36"/>
      <c r="Q20" s="36"/>
      <c r="R20" s="30"/>
      <c r="S20" s="36"/>
      <c r="T20" s="36"/>
      <c r="U20" s="30"/>
      <c r="V20" s="36"/>
      <c r="W20" s="36"/>
      <c r="X20" s="30">
        <v>3851.7</v>
      </c>
      <c r="Y20" s="36">
        <v>7232</v>
      </c>
      <c r="Z20" s="36"/>
      <c r="AA20" s="67"/>
      <c r="AB20" s="66"/>
      <c r="AC20" s="66"/>
    </row>
    <row r="21" spans="1:30" ht="24" customHeight="1">
      <c r="A21" s="109">
        <v>15</v>
      </c>
      <c r="B21" s="182" t="s">
        <v>136</v>
      </c>
      <c r="C21" s="30"/>
      <c r="D21" s="36"/>
      <c r="E21" s="36"/>
      <c r="F21" s="30"/>
      <c r="G21" s="44"/>
      <c r="H21" s="36"/>
      <c r="I21" s="123"/>
      <c r="J21" s="123"/>
      <c r="K21" s="45"/>
      <c r="L21" s="30"/>
      <c r="M21" s="36"/>
      <c r="N21" s="36"/>
      <c r="O21" s="30"/>
      <c r="P21" s="36"/>
      <c r="Q21" s="36"/>
      <c r="R21" s="30"/>
      <c r="S21" s="36"/>
      <c r="T21" s="36"/>
      <c r="U21" s="30"/>
      <c r="V21" s="36"/>
      <c r="W21" s="36"/>
      <c r="X21" s="30"/>
      <c r="Y21" s="36"/>
      <c r="Z21" s="36"/>
      <c r="AA21" s="67">
        <v>20000</v>
      </c>
      <c r="AB21" s="66">
        <v>20000</v>
      </c>
      <c r="AC21" s="66">
        <f>+[2]Sheet2!$G$224</f>
        <v>20000</v>
      </c>
    </row>
    <row r="22" spans="1:30" ht="22.5" customHeight="1">
      <c r="A22" s="109">
        <v>16</v>
      </c>
      <c r="B22" s="21" t="s">
        <v>134</v>
      </c>
      <c r="C22" s="30"/>
      <c r="D22" s="36"/>
      <c r="E22" s="36"/>
      <c r="F22" s="30"/>
      <c r="G22" s="44"/>
      <c r="H22" s="36"/>
      <c r="I22" s="123">
        <v>1154.9000000000001</v>
      </c>
      <c r="J22" s="123">
        <v>1800</v>
      </c>
      <c r="K22" s="45"/>
      <c r="L22" s="45"/>
      <c r="M22" s="45">
        <v>1650</v>
      </c>
      <c r="N22" s="36"/>
      <c r="O22" s="30">
        <v>957.6</v>
      </c>
      <c r="P22" s="36">
        <v>1000</v>
      </c>
      <c r="Q22" s="36"/>
      <c r="R22" s="30"/>
      <c r="S22" s="36"/>
      <c r="T22" s="36"/>
      <c r="U22" s="30">
        <v>362.44</v>
      </c>
      <c r="V22" s="36">
        <v>135.80000000000001</v>
      </c>
      <c r="W22" s="36"/>
      <c r="X22" s="30">
        <v>833.3</v>
      </c>
      <c r="Y22" s="36"/>
      <c r="Z22" s="36"/>
      <c r="AA22" s="67">
        <v>45000</v>
      </c>
      <c r="AB22" s="66">
        <v>65900</v>
      </c>
      <c r="AC22" s="66">
        <f>+[2]Sheet2!$G$230</f>
        <v>70000</v>
      </c>
    </row>
    <row r="23" spans="1:30" ht="27" customHeight="1">
      <c r="A23" s="109">
        <v>17</v>
      </c>
      <c r="B23" s="182" t="s">
        <v>135</v>
      </c>
      <c r="C23" s="30"/>
      <c r="D23" s="36">
        <v>21500</v>
      </c>
      <c r="E23" s="36"/>
      <c r="F23" s="44">
        <v>14478</v>
      </c>
      <c r="G23" s="44">
        <v>14500</v>
      </c>
      <c r="H23" s="36"/>
      <c r="I23" s="124"/>
      <c r="J23" s="124"/>
      <c r="K23" s="36"/>
      <c r="L23" s="32"/>
      <c r="M23" s="36"/>
      <c r="N23" s="36"/>
      <c r="O23" s="32">
        <v>4000</v>
      </c>
      <c r="P23" s="36">
        <v>4500</v>
      </c>
      <c r="Q23" s="36"/>
      <c r="R23" s="32"/>
      <c r="S23" s="36"/>
      <c r="T23" s="36"/>
      <c r="U23" s="32"/>
      <c r="V23" s="36"/>
      <c r="W23" s="36"/>
      <c r="X23" s="32"/>
      <c r="Y23" s="36"/>
      <c r="Z23" s="36"/>
      <c r="AA23" s="67"/>
      <c r="AB23" s="66"/>
      <c r="AC23" s="66"/>
    </row>
    <row r="24" spans="1:30" ht="34.5" customHeight="1">
      <c r="A24" s="109">
        <v>18</v>
      </c>
      <c r="B24" s="182" t="s">
        <v>137</v>
      </c>
      <c r="C24" s="30"/>
      <c r="D24" s="36"/>
      <c r="E24" s="36"/>
      <c r="F24" s="44"/>
      <c r="G24" s="44"/>
      <c r="H24" s="36"/>
      <c r="I24" s="124"/>
      <c r="J24" s="124"/>
      <c r="K24" s="36"/>
      <c r="L24" s="32"/>
      <c r="M24" s="36"/>
      <c r="N24" s="36"/>
      <c r="O24" s="32"/>
      <c r="P24" s="36"/>
      <c r="Q24" s="36"/>
      <c r="R24" s="32"/>
      <c r="S24" s="36"/>
      <c r="T24" s="36"/>
      <c r="U24" s="32"/>
      <c r="V24" s="36"/>
      <c r="W24" s="36"/>
      <c r="X24" s="32"/>
      <c r="Y24" s="36"/>
      <c r="Z24" s="36"/>
      <c r="AA24" s="67"/>
      <c r="AB24" s="66"/>
      <c r="AC24" s="66"/>
    </row>
    <row r="25" spans="1:30" ht="25.5" customHeight="1">
      <c r="A25" s="109">
        <v>19</v>
      </c>
      <c r="B25" s="57" t="s">
        <v>96</v>
      </c>
      <c r="C25" s="36">
        <v>52800</v>
      </c>
      <c r="D25" s="31"/>
      <c r="E25" s="31"/>
      <c r="F25" s="44"/>
      <c r="G25" s="44"/>
      <c r="H25" s="31"/>
      <c r="I25" s="123"/>
      <c r="J25" s="123"/>
      <c r="K25" s="45"/>
      <c r="L25" s="45"/>
      <c r="M25" s="45"/>
      <c r="N25" s="31"/>
      <c r="O25" s="36"/>
      <c r="P25" s="31"/>
      <c r="Q25" s="31"/>
      <c r="R25" s="36"/>
      <c r="S25" s="31"/>
      <c r="T25" s="31"/>
      <c r="U25" s="36"/>
      <c r="V25" s="31"/>
      <c r="W25" s="31"/>
      <c r="X25" s="36"/>
      <c r="Y25" s="31"/>
      <c r="Z25" s="31"/>
      <c r="AA25" s="67">
        <v>281062.446</v>
      </c>
      <c r="AB25" s="66">
        <v>303200</v>
      </c>
      <c r="AC25" s="66">
        <v>341700</v>
      </c>
      <c r="AD25" s="161">
        <f>+AC25-AB25</f>
        <v>38500</v>
      </c>
    </row>
    <row r="26" spans="1:30" ht="72" customHeight="1">
      <c r="A26" s="214">
        <v>19.100000000000001</v>
      </c>
      <c r="B26" s="57" t="s">
        <v>182</v>
      </c>
      <c r="C26" s="36"/>
      <c r="D26" s="31"/>
      <c r="E26" s="31"/>
      <c r="F26" s="44"/>
      <c r="G26" s="44"/>
      <c r="H26" s="31"/>
      <c r="I26" s="123"/>
      <c r="J26" s="123"/>
      <c r="K26" s="45"/>
      <c r="L26" s="45"/>
      <c r="M26" s="45"/>
      <c r="N26" s="31"/>
      <c r="O26" s="36"/>
      <c r="P26" s="31"/>
      <c r="Q26" s="31"/>
      <c r="R26" s="36"/>
      <c r="S26" s="31"/>
      <c r="T26" s="31"/>
      <c r="U26" s="36"/>
      <c r="V26" s="31"/>
      <c r="W26" s="31"/>
      <c r="X26" s="36"/>
      <c r="Y26" s="31"/>
      <c r="Z26" s="31"/>
      <c r="AA26" s="67"/>
      <c r="AB26" s="66"/>
      <c r="AC26" s="66">
        <v>300</v>
      </c>
      <c r="AD26" s="161">
        <f>342000-300</f>
        <v>341700</v>
      </c>
    </row>
    <row r="27" spans="1:30" ht="23.25" hidden="1" customHeight="1">
      <c r="A27" s="109"/>
      <c r="B27" s="57" t="s">
        <v>129</v>
      </c>
      <c r="C27" s="36"/>
      <c r="D27" s="31"/>
      <c r="E27" s="31"/>
      <c r="F27" s="44"/>
      <c r="G27" s="44"/>
      <c r="H27" s="31"/>
      <c r="I27" s="123"/>
      <c r="J27" s="123"/>
      <c r="K27" s="45"/>
      <c r="L27" s="45"/>
      <c r="M27" s="45"/>
      <c r="N27" s="31"/>
      <c r="O27" s="36"/>
      <c r="P27" s="31"/>
      <c r="Q27" s="31"/>
      <c r="R27" s="36"/>
      <c r="S27" s="31"/>
      <c r="T27" s="31"/>
      <c r="U27" s="36"/>
      <c r="V27" s="31"/>
      <c r="W27" s="31"/>
      <c r="X27" s="36"/>
      <c r="Y27" s="31"/>
      <c r="Z27" s="31"/>
      <c r="AA27" s="67"/>
      <c r="AB27" s="66"/>
      <c r="AC27" s="66"/>
    </row>
    <row r="28" spans="1:30" ht="23.25" hidden="1" customHeight="1">
      <c r="A28" s="109"/>
      <c r="B28" s="57" t="s">
        <v>86</v>
      </c>
      <c r="C28" s="36"/>
      <c r="D28" s="31"/>
      <c r="E28" s="31"/>
      <c r="F28" s="44"/>
      <c r="G28" s="44"/>
      <c r="H28" s="31"/>
      <c r="I28" s="123"/>
      <c r="J28" s="123"/>
      <c r="K28" s="45"/>
      <c r="L28" s="45"/>
      <c r="M28" s="45"/>
      <c r="N28" s="31"/>
      <c r="O28" s="36"/>
      <c r="P28" s="31"/>
      <c r="Q28" s="31"/>
      <c r="R28" s="36"/>
      <c r="S28" s="31"/>
      <c r="T28" s="31"/>
      <c r="U28" s="36"/>
      <c r="V28" s="31"/>
      <c r="W28" s="31"/>
      <c r="X28" s="36"/>
      <c r="Y28" s="31"/>
      <c r="Z28" s="31"/>
      <c r="AA28" s="67"/>
      <c r="AB28" s="66"/>
      <c r="AC28" s="66"/>
    </row>
    <row r="29" spans="1:30" ht="31.5" hidden="1" customHeight="1">
      <c r="A29" s="109"/>
      <c r="B29" s="57" t="s">
        <v>90</v>
      </c>
      <c r="C29" s="36"/>
      <c r="D29" s="31"/>
      <c r="E29" s="31"/>
      <c r="F29" s="44"/>
      <c r="G29" s="44"/>
      <c r="H29" s="31"/>
      <c r="I29" s="123"/>
      <c r="J29" s="123"/>
      <c r="K29" s="45"/>
      <c r="L29" s="45"/>
      <c r="M29" s="45"/>
      <c r="N29" s="31"/>
      <c r="O29" s="36"/>
      <c r="P29" s="31"/>
      <c r="Q29" s="31"/>
      <c r="R29" s="36"/>
      <c r="S29" s="31"/>
      <c r="T29" s="31"/>
      <c r="U29" s="36"/>
      <c r="V29" s="31"/>
      <c r="W29" s="31"/>
      <c r="X29" s="36"/>
      <c r="Y29" s="31"/>
      <c r="Z29" s="31"/>
      <c r="AA29" s="67"/>
      <c r="AB29" s="66"/>
      <c r="AC29" s="66"/>
    </row>
    <row r="30" spans="1:30" ht="34.5" hidden="1" customHeight="1">
      <c r="A30" s="109"/>
      <c r="B30" s="57" t="s">
        <v>87</v>
      </c>
      <c r="C30" s="36"/>
      <c r="D30" s="31"/>
      <c r="E30" s="31"/>
      <c r="F30" s="44"/>
      <c r="G30" s="44"/>
      <c r="H30" s="31"/>
      <c r="I30" s="123"/>
      <c r="J30" s="123"/>
      <c r="K30" s="45"/>
      <c r="L30" s="45"/>
      <c r="M30" s="45"/>
      <c r="N30" s="31"/>
      <c r="O30" s="36"/>
      <c r="P30" s="31"/>
      <c r="Q30" s="31"/>
      <c r="R30" s="36"/>
      <c r="S30" s="31"/>
      <c r="T30" s="31"/>
      <c r="U30" s="36"/>
      <c r="V30" s="31"/>
      <c r="W30" s="31"/>
      <c r="X30" s="36"/>
      <c r="Y30" s="31"/>
      <c r="Z30" s="31"/>
      <c r="AA30" s="67"/>
      <c r="AB30" s="66"/>
      <c r="AC30" s="66"/>
    </row>
    <row r="31" spans="1:30" ht="30" hidden="1" customHeight="1">
      <c r="A31" s="109"/>
      <c r="B31" s="57" t="s">
        <v>91</v>
      </c>
      <c r="C31" s="36"/>
      <c r="D31" s="31"/>
      <c r="E31" s="31"/>
      <c r="F31" s="44"/>
      <c r="G31" s="44"/>
      <c r="H31" s="31"/>
      <c r="I31" s="123"/>
      <c r="J31" s="123"/>
      <c r="K31" s="45"/>
      <c r="L31" s="45"/>
      <c r="M31" s="45"/>
      <c r="N31" s="31"/>
      <c r="O31" s="36"/>
      <c r="P31" s="31"/>
      <c r="Q31" s="31"/>
      <c r="R31" s="36"/>
      <c r="S31" s="31"/>
      <c r="T31" s="31"/>
      <c r="U31" s="36"/>
      <c r="V31" s="31"/>
      <c r="W31" s="31"/>
      <c r="X31" s="36"/>
      <c r="Y31" s="31"/>
      <c r="Z31" s="31"/>
      <c r="AA31" s="67"/>
      <c r="AB31" s="66"/>
      <c r="AC31" s="66"/>
    </row>
    <row r="32" spans="1:30" ht="23.25" hidden="1" customHeight="1">
      <c r="A32" s="109"/>
      <c r="B32" s="57" t="s">
        <v>92</v>
      </c>
      <c r="C32" s="36"/>
      <c r="D32" s="31"/>
      <c r="E32" s="31"/>
      <c r="F32" s="44"/>
      <c r="G32" s="44"/>
      <c r="H32" s="31"/>
      <c r="I32" s="123"/>
      <c r="J32" s="123"/>
      <c r="K32" s="45"/>
      <c r="L32" s="45"/>
      <c r="M32" s="45"/>
      <c r="N32" s="31"/>
      <c r="O32" s="36"/>
      <c r="P32" s="31"/>
      <c r="Q32" s="31"/>
      <c r="R32" s="36"/>
      <c r="S32" s="31"/>
      <c r="T32" s="31"/>
      <c r="U32" s="36"/>
      <c r="V32" s="31"/>
      <c r="W32" s="31"/>
      <c r="X32" s="36"/>
      <c r="Y32" s="31"/>
      <c r="Z32" s="31"/>
      <c r="AA32" s="67"/>
      <c r="AB32" s="66"/>
      <c r="AC32" s="66"/>
    </row>
    <row r="33" spans="1:30" ht="25.5" hidden="1" customHeight="1">
      <c r="A33" s="109"/>
      <c r="B33" s="57" t="s">
        <v>88</v>
      </c>
      <c r="C33" s="36"/>
      <c r="D33" s="31"/>
      <c r="E33" s="31"/>
      <c r="F33" s="44">
        <v>950</v>
      </c>
      <c r="G33" s="44">
        <v>1000</v>
      </c>
      <c r="H33" s="31"/>
      <c r="I33" s="130"/>
      <c r="J33" s="124"/>
      <c r="K33" s="31"/>
      <c r="L33" s="36"/>
      <c r="M33" s="31"/>
      <c r="N33" s="31"/>
      <c r="O33" s="36"/>
      <c r="P33" s="31"/>
      <c r="Q33" s="31"/>
      <c r="R33" s="36"/>
      <c r="S33" s="31"/>
      <c r="T33" s="31"/>
      <c r="U33" s="36"/>
      <c r="V33" s="31"/>
      <c r="W33" s="31"/>
      <c r="X33" s="36"/>
      <c r="Y33" s="31"/>
      <c r="Z33" s="31"/>
      <c r="AA33" s="67"/>
      <c r="AB33" s="66"/>
      <c r="AC33" s="66"/>
    </row>
    <row r="34" spans="1:30" ht="23.25" hidden="1" customHeight="1">
      <c r="A34" s="109">
        <v>20</v>
      </c>
      <c r="B34" s="57" t="s">
        <v>99</v>
      </c>
      <c r="C34" s="36"/>
      <c r="D34" s="37">
        <v>44477.75</v>
      </c>
      <c r="E34" s="37"/>
      <c r="F34" s="37"/>
      <c r="G34" s="36"/>
      <c r="H34" s="36"/>
      <c r="I34" s="129"/>
      <c r="J34" s="130"/>
      <c r="K34" s="36"/>
      <c r="L34" s="37"/>
      <c r="M34" s="36"/>
      <c r="N34" s="36"/>
      <c r="O34" s="37"/>
      <c r="P34" s="36"/>
      <c r="Q34" s="36"/>
      <c r="R34" s="37"/>
      <c r="S34" s="36"/>
      <c r="T34" s="36"/>
      <c r="U34" s="37"/>
      <c r="V34" s="36"/>
      <c r="W34" s="36"/>
      <c r="X34" s="37"/>
      <c r="Y34" s="36"/>
      <c r="Z34" s="36"/>
      <c r="AA34" s="67"/>
      <c r="AB34" s="67"/>
      <c r="AC34" s="67"/>
    </row>
    <row r="35" spans="1:30" ht="26.25" customHeight="1">
      <c r="A35" s="252">
        <v>20</v>
      </c>
      <c r="B35" s="184" t="s">
        <v>138</v>
      </c>
      <c r="C35" s="37">
        <v>34865.699999999997</v>
      </c>
      <c r="D35" s="33">
        <v>5122.25</v>
      </c>
      <c r="E35" s="33"/>
      <c r="F35" s="33"/>
      <c r="G35" s="33"/>
      <c r="H35" s="34"/>
      <c r="I35" s="65"/>
      <c r="J35" s="65"/>
      <c r="K35" s="34"/>
      <c r="L35" s="33"/>
      <c r="M35" s="33"/>
      <c r="N35" s="34"/>
      <c r="O35" s="33"/>
      <c r="P35" s="33"/>
      <c r="Q35" s="34"/>
      <c r="R35" s="33"/>
      <c r="S35" s="33"/>
      <c r="T35" s="34"/>
      <c r="U35" s="33"/>
      <c r="V35" s="33"/>
      <c r="W35" s="34"/>
      <c r="X35" s="33"/>
      <c r="Y35" s="33"/>
      <c r="Z35" s="34"/>
      <c r="AA35" s="67">
        <v>72622.5</v>
      </c>
      <c r="AB35" s="66">
        <v>92000</v>
      </c>
      <c r="AC35" s="66">
        <v>84988.7</v>
      </c>
      <c r="AD35" s="185"/>
    </row>
    <row r="36" spans="1:30" ht="36.75" customHeight="1">
      <c r="A36" s="253"/>
      <c r="B36" s="183" t="s">
        <v>126</v>
      </c>
      <c r="C36" s="33">
        <v>10968.6</v>
      </c>
      <c r="D36" s="36">
        <v>6000</v>
      </c>
      <c r="E36" s="37"/>
      <c r="F36" s="44">
        <v>6000</v>
      </c>
      <c r="G36" s="44">
        <v>7000</v>
      </c>
      <c r="H36" s="36"/>
      <c r="I36" s="123">
        <v>5113.7</v>
      </c>
      <c r="J36" s="123">
        <v>5500</v>
      </c>
      <c r="K36" s="45"/>
      <c r="L36" s="45">
        <v>2880</v>
      </c>
      <c r="M36" s="45">
        <v>3000</v>
      </c>
      <c r="N36" s="36"/>
      <c r="O36" s="38">
        <v>335</v>
      </c>
      <c r="P36" s="36">
        <v>500</v>
      </c>
      <c r="Q36" s="36"/>
      <c r="R36" s="38">
        <v>3840</v>
      </c>
      <c r="S36" s="36">
        <v>7040</v>
      </c>
      <c r="T36" s="36"/>
      <c r="U36" s="38">
        <v>990</v>
      </c>
      <c r="V36" s="36">
        <v>1520</v>
      </c>
      <c r="W36" s="36"/>
      <c r="X36" s="38">
        <v>1130</v>
      </c>
      <c r="Y36" s="36">
        <v>2360</v>
      </c>
      <c r="Z36" s="36"/>
      <c r="AA36" s="67"/>
      <c r="AB36" s="66"/>
      <c r="AC36" s="66">
        <f>+[2]Sheet6!$G$464</f>
        <v>5011.3</v>
      </c>
      <c r="AD36" s="161"/>
    </row>
    <row r="37" spans="1:30" ht="70.5" customHeight="1">
      <c r="A37" s="254"/>
      <c r="B37" s="183" t="s">
        <v>181</v>
      </c>
      <c r="C37" s="33"/>
      <c r="D37" s="36"/>
      <c r="E37" s="37"/>
      <c r="F37" s="44"/>
      <c r="G37" s="44"/>
      <c r="H37" s="36"/>
      <c r="I37" s="123"/>
      <c r="J37" s="123"/>
      <c r="K37" s="45"/>
      <c r="L37" s="45"/>
      <c r="M37" s="45"/>
      <c r="N37" s="36"/>
      <c r="O37" s="38"/>
      <c r="P37" s="36"/>
      <c r="Q37" s="36"/>
      <c r="R37" s="38"/>
      <c r="S37" s="36"/>
      <c r="T37" s="36"/>
      <c r="U37" s="38"/>
      <c r="V37" s="36"/>
      <c r="W37" s="36"/>
      <c r="X37" s="38"/>
      <c r="Y37" s="36"/>
      <c r="Z37" s="36"/>
      <c r="AA37" s="67"/>
      <c r="AB37" s="66"/>
      <c r="AC37" s="66">
        <v>2000</v>
      </c>
      <c r="AD37" s="161"/>
    </row>
    <row r="38" spans="1:30" ht="24" customHeight="1">
      <c r="A38" s="110">
        <v>21</v>
      </c>
      <c r="B38" s="21" t="s">
        <v>77</v>
      </c>
      <c r="C38" s="38">
        <v>3945.2</v>
      </c>
      <c r="D38" s="36">
        <v>8380</v>
      </c>
      <c r="E38" s="36"/>
      <c r="F38" s="44">
        <v>6541.5</v>
      </c>
      <c r="G38" s="44">
        <v>8045.8</v>
      </c>
      <c r="H38" s="36"/>
      <c r="I38" s="123">
        <v>0</v>
      </c>
      <c r="J38" s="123">
        <v>1864</v>
      </c>
      <c r="K38" s="45"/>
      <c r="L38" s="45">
        <v>0</v>
      </c>
      <c r="M38" s="45">
        <v>12656.9</v>
      </c>
      <c r="N38" s="36"/>
      <c r="O38" s="39">
        <v>0</v>
      </c>
      <c r="P38" s="36">
        <v>7898.5</v>
      </c>
      <c r="Q38" s="36"/>
      <c r="R38" s="39"/>
      <c r="S38" s="36"/>
      <c r="T38" s="36"/>
      <c r="U38" s="39"/>
      <c r="V38" s="36"/>
      <c r="W38" s="36"/>
      <c r="X38" s="39"/>
      <c r="Y38" s="36">
        <v>890.1</v>
      </c>
      <c r="Z38" s="36"/>
      <c r="AA38" s="67">
        <v>12867.1</v>
      </c>
      <c r="AB38" s="66">
        <v>16000</v>
      </c>
      <c r="AC38" s="66">
        <f>+[2]Sheet2!$G$304</f>
        <v>16000</v>
      </c>
    </row>
    <row r="39" spans="1:30" ht="24" customHeight="1">
      <c r="A39" s="110">
        <v>22</v>
      </c>
      <c r="B39" s="21" t="s">
        <v>16</v>
      </c>
      <c r="C39" s="39">
        <v>0</v>
      </c>
      <c r="D39" s="60">
        <f t="shared" ref="D39:Z39" si="0">SUM(D6:D38)</f>
        <v>253700</v>
      </c>
      <c r="E39" s="60">
        <f t="shared" si="0"/>
        <v>0</v>
      </c>
      <c r="F39" s="60">
        <f t="shared" si="0"/>
        <v>81606.5</v>
      </c>
      <c r="G39" s="60">
        <f t="shared" si="0"/>
        <v>102861.8</v>
      </c>
      <c r="H39" s="60">
        <f t="shared" si="0"/>
        <v>0</v>
      </c>
      <c r="I39" s="133">
        <f t="shared" si="0"/>
        <v>45465.099999999991</v>
      </c>
      <c r="J39" s="133">
        <f t="shared" si="0"/>
        <v>63884</v>
      </c>
      <c r="K39" s="60">
        <f t="shared" si="0"/>
        <v>0</v>
      </c>
      <c r="L39" s="60">
        <f t="shared" si="0"/>
        <v>60820.1</v>
      </c>
      <c r="M39" s="60">
        <f t="shared" si="0"/>
        <v>60981.9</v>
      </c>
      <c r="N39" s="60">
        <f t="shared" si="0"/>
        <v>0</v>
      </c>
      <c r="O39" s="60">
        <f t="shared" si="0"/>
        <v>34809</v>
      </c>
      <c r="P39" s="60">
        <f t="shared" si="0"/>
        <v>34128.5</v>
      </c>
      <c r="Q39" s="60">
        <f t="shared" si="0"/>
        <v>0</v>
      </c>
      <c r="R39" s="60">
        <f t="shared" si="0"/>
        <v>74912</v>
      </c>
      <c r="S39" s="60">
        <f t="shared" si="0"/>
        <v>109239.09999999999</v>
      </c>
      <c r="T39" s="60">
        <f t="shared" si="0"/>
        <v>0</v>
      </c>
      <c r="U39" s="60">
        <f t="shared" si="0"/>
        <v>62891.485000000008</v>
      </c>
      <c r="V39" s="60">
        <f t="shared" si="0"/>
        <v>49261.744000000006</v>
      </c>
      <c r="W39" s="60">
        <f t="shared" si="0"/>
        <v>0</v>
      </c>
      <c r="X39" s="60">
        <f t="shared" si="0"/>
        <v>37407.578000000001</v>
      </c>
      <c r="Y39" s="60">
        <f t="shared" si="0"/>
        <v>52979.197999999997</v>
      </c>
      <c r="Z39" s="60">
        <f t="shared" si="0"/>
        <v>0</v>
      </c>
      <c r="AA39" s="67"/>
      <c r="AB39" s="66">
        <v>174276.15</v>
      </c>
      <c r="AC39" s="67">
        <f>+[2]Sheet2!$G$317</f>
        <v>300314</v>
      </c>
      <c r="AD39" s="185"/>
    </row>
    <row r="40" spans="1:30" ht="32.25" customHeight="1">
      <c r="A40" s="111"/>
      <c r="B40" s="59" t="s">
        <v>21</v>
      </c>
      <c r="C40" s="60">
        <f>SUM(C7:C39)</f>
        <v>225655.68300000005</v>
      </c>
      <c r="D40" s="40">
        <v>163151</v>
      </c>
      <c r="E40" s="40"/>
      <c r="F40" s="40"/>
      <c r="G40" s="39"/>
      <c r="H40" s="36"/>
      <c r="I40" s="134">
        <v>1085.4000000000001</v>
      </c>
      <c r="J40" s="134">
        <v>71099.8</v>
      </c>
      <c r="K40" s="58">
        <v>57200</v>
      </c>
      <c r="L40" s="40"/>
      <c r="M40" s="39"/>
      <c r="N40" s="36"/>
      <c r="O40" s="40"/>
      <c r="P40" s="39"/>
      <c r="Q40" s="36"/>
      <c r="R40" s="40">
        <v>19620</v>
      </c>
      <c r="S40" s="39">
        <v>8860</v>
      </c>
      <c r="T40" s="36"/>
      <c r="U40" s="40"/>
      <c r="V40" s="40"/>
      <c r="W40" s="36"/>
      <c r="X40" s="40"/>
      <c r="Y40" s="40"/>
      <c r="Z40" s="36"/>
      <c r="AA40" s="133">
        <f>SUM(AA7:AA39)</f>
        <v>978159.576</v>
      </c>
      <c r="AB40" s="135">
        <f>+AB7+AB8+AB9+AB10+AB11+AB12+AB13+AB14+AB15+AB16+AB17+AB18+AB19+AB20+AB21+AB22+AB25+AB34+AB35+AB36+AB38+AB39</f>
        <v>1477838</v>
      </c>
      <c r="AC40" s="135">
        <f>+AC7+AC8+AC9+AC10+AC11+AC12+AC13+AC14+AC15+AC16+AC17+AC18+AC19+AC20+AC22+AC25+AC26+AC34+AC35+AC36+AC37+AC38+AC39+AC21</f>
        <v>1720000</v>
      </c>
      <c r="AD40" s="161"/>
    </row>
    <row r="41" spans="1:30" ht="35.25" customHeight="1">
      <c r="A41" s="110">
        <v>23</v>
      </c>
      <c r="B41" s="21" t="s">
        <v>17</v>
      </c>
      <c r="C41" s="40">
        <v>31846.111000000001</v>
      </c>
      <c r="D41" s="37">
        <v>56329.599999999999</v>
      </c>
      <c r="E41" s="40"/>
      <c r="F41" s="30"/>
      <c r="G41" s="36"/>
      <c r="H41" s="36"/>
      <c r="I41" s="67"/>
      <c r="J41" s="130"/>
      <c r="K41" s="36"/>
      <c r="L41" s="30"/>
      <c r="M41" s="36"/>
      <c r="N41" s="36"/>
      <c r="O41" s="30"/>
      <c r="P41" s="36"/>
      <c r="Q41" s="36"/>
      <c r="R41" s="30">
        <v>2280</v>
      </c>
      <c r="S41" s="36">
        <v>7700</v>
      </c>
      <c r="T41" s="36"/>
      <c r="U41" s="30"/>
      <c r="V41" s="36"/>
      <c r="W41" s="36"/>
      <c r="X41" s="30"/>
      <c r="Y41" s="36"/>
      <c r="Z41" s="36"/>
      <c r="AA41" s="67">
        <v>432472.16700000002</v>
      </c>
      <c r="AB41" s="124">
        <v>400500</v>
      </c>
      <c r="AC41" s="67">
        <f>+'[2]Sheet3 '!$F$189</f>
        <v>880000</v>
      </c>
    </row>
    <row r="42" spans="1:30" ht="39" customHeight="1">
      <c r="A42" s="110">
        <v>24</v>
      </c>
      <c r="B42" s="21" t="s">
        <v>18</v>
      </c>
      <c r="C42" s="30">
        <v>21043.3</v>
      </c>
      <c r="D42" s="36"/>
      <c r="E42" s="36"/>
      <c r="F42" s="36"/>
      <c r="G42" s="36"/>
      <c r="H42" s="36"/>
      <c r="I42" s="130"/>
      <c r="J42" s="130"/>
      <c r="K42" s="36"/>
      <c r="L42" s="36"/>
      <c r="M42" s="36"/>
      <c r="N42" s="36"/>
      <c r="O42" s="36"/>
      <c r="P42" s="36"/>
      <c r="Q42" s="36"/>
      <c r="R42" s="36">
        <v>145</v>
      </c>
      <c r="S42" s="36">
        <v>200</v>
      </c>
      <c r="T42" s="36"/>
      <c r="U42" s="36"/>
      <c r="V42" s="36"/>
      <c r="W42" s="36"/>
      <c r="X42" s="36"/>
      <c r="Y42" s="36"/>
      <c r="Z42" s="36"/>
      <c r="AA42" s="67">
        <v>36846.546999999999</v>
      </c>
      <c r="AB42" s="124">
        <v>1000</v>
      </c>
      <c r="AC42" s="67">
        <f>+'[2]Sheet3 '!$F$190</f>
        <v>220000</v>
      </c>
    </row>
    <row r="43" spans="1:30" ht="24" customHeight="1">
      <c r="A43" s="110">
        <v>25</v>
      </c>
      <c r="B43" s="21" t="s">
        <v>19</v>
      </c>
      <c r="C43" s="36">
        <v>0</v>
      </c>
      <c r="D43" s="36">
        <v>6500</v>
      </c>
      <c r="E43" s="40"/>
      <c r="F43" s="30"/>
      <c r="G43" s="36"/>
      <c r="H43" s="36"/>
      <c r="I43" s="123">
        <v>2409.5</v>
      </c>
      <c r="J43" s="123">
        <v>5811</v>
      </c>
      <c r="K43" s="45">
        <v>3000</v>
      </c>
      <c r="L43" s="30"/>
      <c r="M43" s="36"/>
      <c r="N43" s="36"/>
      <c r="O43" s="30"/>
      <c r="P43" s="36"/>
      <c r="Q43" s="36"/>
      <c r="R43" s="30">
        <v>188.9</v>
      </c>
      <c r="S43" s="36">
        <v>4080</v>
      </c>
      <c r="T43" s="36"/>
      <c r="U43" s="30"/>
      <c r="V43" s="36"/>
      <c r="W43" s="36"/>
      <c r="X43" s="30"/>
      <c r="Y43" s="36"/>
      <c r="Z43" s="36"/>
      <c r="AA43" s="67"/>
      <c r="AB43" s="124"/>
      <c r="AC43" s="66">
        <v>0</v>
      </c>
    </row>
    <row r="44" spans="1:30" ht="24" customHeight="1">
      <c r="A44" s="110">
        <v>26</v>
      </c>
      <c r="B44" s="21" t="s">
        <v>20</v>
      </c>
      <c r="C44" s="30">
        <v>1471.22</v>
      </c>
      <c r="D44" s="36">
        <v>6000</v>
      </c>
      <c r="E44" s="40"/>
      <c r="F44" s="30"/>
      <c r="G44" s="36"/>
      <c r="H44" s="36"/>
      <c r="I44" s="123">
        <v>985</v>
      </c>
      <c r="J44" s="123">
        <v>2787.5</v>
      </c>
      <c r="K44" s="45">
        <v>2238.1999999999998</v>
      </c>
      <c r="L44" s="30"/>
      <c r="M44" s="36"/>
      <c r="N44" s="36"/>
      <c r="O44" s="30"/>
      <c r="P44" s="36"/>
      <c r="Q44" s="36"/>
      <c r="R44" s="30">
        <v>880</v>
      </c>
      <c r="S44" s="36">
        <v>900</v>
      </c>
      <c r="T44" s="36"/>
      <c r="U44" s="30"/>
      <c r="V44" s="36"/>
      <c r="W44" s="36"/>
      <c r="X44" s="30"/>
      <c r="Y44" s="36"/>
      <c r="Z44" s="36"/>
      <c r="AA44" s="67">
        <v>12662.1</v>
      </c>
      <c r="AB44" s="213">
        <v>45000</v>
      </c>
      <c r="AC44" s="66">
        <f>+'[2]Sheet3 '!$F$194</f>
        <v>50866.395000000004</v>
      </c>
    </row>
    <row r="45" spans="1:30" ht="24" customHeight="1">
      <c r="A45" s="110">
        <v>27</v>
      </c>
      <c r="B45" s="7" t="s">
        <v>83</v>
      </c>
      <c r="C45" s="30">
        <v>300</v>
      </c>
      <c r="D45" s="60">
        <f t="shared" ref="D45:K45" si="1">SUM(D6:D44)</f>
        <v>739380.6</v>
      </c>
      <c r="E45" s="60">
        <f t="shared" si="1"/>
        <v>0</v>
      </c>
      <c r="F45" s="60">
        <f t="shared" si="1"/>
        <v>163213</v>
      </c>
      <c r="G45" s="60">
        <f t="shared" si="1"/>
        <v>205723.6</v>
      </c>
      <c r="H45" s="60">
        <f t="shared" si="1"/>
        <v>0</v>
      </c>
      <c r="I45" s="135">
        <f t="shared" si="1"/>
        <v>95410.099999999977</v>
      </c>
      <c r="J45" s="135">
        <f t="shared" si="1"/>
        <v>207466.3</v>
      </c>
      <c r="K45" s="61">
        <f t="shared" si="1"/>
        <v>62438.2</v>
      </c>
      <c r="L45" s="60">
        <f>+L39+L40+L41+L42+L43+L44</f>
        <v>60820.1</v>
      </c>
      <c r="M45" s="60">
        <f>+M39+M40+M41+M42+M43+M44</f>
        <v>60981.9</v>
      </c>
      <c r="N45" s="60">
        <f>+N39+N40+N41+N42+N43+N44</f>
        <v>0</v>
      </c>
      <c r="O45" s="60">
        <f>+O39+O40+O41+O42+O43+O44</f>
        <v>34809</v>
      </c>
      <c r="P45" s="60">
        <f>+P39+P40+P41+P42+P43+P44</f>
        <v>34128.5</v>
      </c>
      <c r="Q45" s="60">
        <f t="shared" ref="Q45:Z45" si="2">+Q39+Q40+Q41+Q42+Q43+Q44</f>
        <v>0</v>
      </c>
      <c r="R45" s="60">
        <f t="shared" si="2"/>
        <v>98025.9</v>
      </c>
      <c r="S45" s="60">
        <f t="shared" si="2"/>
        <v>130979.09999999999</v>
      </c>
      <c r="T45" s="60">
        <f t="shared" si="2"/>
        <v>0</v>
      </c>
      <c r="U45" s="60">
        <f t="shared" si="2"/>
        <v>62891.485000000008</v>
      </c>
      <c r="V45" s="60">
        <f t="shared" si="2"/>
        <v>49261.744000000006</v>
      </c>
      <c r="W45" s="60">
        <f t="shared" si="2"/>
        <v>0</v>
      </c>
      <c r="X45" s="60">
        <f t="shared" si="2"/>
        <v>37407.578000000001</v>
      </c>
      <c r="Y45" s="60">
        <f t="shared" si="2"/>
        <v>52979.197999999997</v>
      </c>
      <c r="Z45" s="60">
        <f t="shared" si="2"/>
        <v>0</v>
      </c>
      <c r="AA45" s="67">
        <v>17743</v>
      </c>
      <c r="AB45" s="213">
        <v>20000</v>
      </c>
      <c r="AC45" s="66">
        <f>+'[2]Sheet3 '!$F$201</f>
        <v>22000</v>
      </c>
    </row>
    <row r="46" spans="1:30" ht="24" hidden="1" customHeight="1">
      <c r="A46" s="110"/>
      <c r="B46" s="7" t="s">
        <v>139</v>
      </c>
      <c r="C46" s="30"/>
      <c r="D46" s="187"/>
      <c r="E46" s="187"/>
      <c r="F46" s="187"/>
      <c r="G46" s="187"/>
      <c r="H46" s="187"/>
      <c r="I46" s="188"/>
      <c r="J46" s="188"/>
      <c r="K46" s="189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67"/>
      <c r="AB46" s="66"/>
      <c r="AC46" s="66">
        <v>0</v>
      </c>
    </row>
    <row r="47" spans="1:30" customFormat="1" ht="34.5" customHeight="1">
      <c r="A47" s="111"/>
      <c r="B47" s="59" t="s">
        <v>21</v>
      </c>
      <c r="C47" s="60">
        <f>SUM(C7:C45)</f>
        <v>505971.99700000003</v>
      </c>
      <c r="D47" s="51"/>
      <c r="E47" s="51"/>
      <c r="F47" s="50"/>
      <c r="G47" s="52"/>
      <c r="H47" s="50"/>
      <c r="I47" s="136"/>
      <c r="J47" s="136"/>
      <c r="K47" s="53"/>
      <c r="L47" s="141"/>
      <c r="M47" s="14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135">
        <f>+AA40+AA41+AA42+AA43+AA44+AA45+AA46</f>
        <v>1477883.3900000001</v>
      </c>
      <c r="AB47" s="135">
        <f>+AB40+AB41+AB42+AB43+AB44+AB45+AB46</f>
        <v>1944338</v>
      </c>
      <c r="AC47" s="135">
        <f>+AC40+AC41+AC42+AC43+AC44+AC45+AC46</f>
        <v>2892866.395</v>
      </c>
      <c r="AD47" s="160"/>
    </row>
    <row r="48" spans="1:30" customFormat="1" ht="34.5" customHeight="1">
      <c r="A48" s="112"/>
      <c r="B48" s="18"/>
      <c r="C48" s="51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75"/>
      <c r="AB48" s="136"/>
      <c r="AC48" s="136"/>
    </row>
    <row r="49" spans="1:29" ht="24" customHeight="1">
      <c r="A49" s="235" t="s">
        <v>189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</row>
    <row r="50" spans="1:29" ht="24" customHeight="1">
      <c r="A50" s="257" t="s">
        <v>188</v>
      </c>
      <c r="B50" s="257"/>
      <c r="C50" s="51"/>
      <c r="G50" s="52"/>
      <c r="AA50" s="138"/>
      <c r="AB50" s="138"/>
      <c r="AC50" s="159"/>
    </row>
    <row r="51" spans="1:29" ht="24" customHeight="1">
      <c r="G51" s="52"/>
    </row>
    <row r="52" spans="1:29" ht="24" customHeight="1">
      <c r="G52" s="52"/>
    </row>
    <row r="53" spans="1:29" ht="24" customHeight="1">
      <c r="G53" s="52"/>
    </row>
    <row r="54" spans="1:29" ht="24" customHeight="1">
      <c r="G54" s="52"/>
    </row>
  </sheetData>
  <mergeCells count="13">
    <mergeCell ref="A49:AC49"/>
    <mergeCell ref="A50:B50"/>
    <mergeCell ref="AB1:AC1"/>
    <mergeCell ref="A2:C2"/>
    <mergeCell ref="AA2:AC2"/>
    <mergeCell ref="A3:AC3"/>
    <mergeCell ref="A4:AC4"/>
    <mergeCell ref="B5:B6"/>
    <mergeCell ref="A5:A6"/>
    <mergeCell ref="AA5:AA6"/>
    <mergeCell ref="A35:A37"/>
    <mergeCell ref="AB5:AB6"/>
    <mergeCell ref="AC5:AC6"/>
  </mergeCells>
  <pageMargins left="0.44" right="0.28999999999999998" top="0.75" bottom="0.53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4"/>
  <sheetViews>
    <sheetView tabSelected="1" workbookViewId="0">
      <selection activeCell="G24" sqref="G24"/>
    </sheetView>
  </sheetViews>
  <sheetFormatPr defaultRowHeight="35.1" customHeight="1"/>
  <cols>
    <col min="2" max="2" width="45" bestFit="1" customWidth="1"/>
    <col min="3" max="3" width="15.5703125" style="190" customWidth="1"/>
    <col min="4" max="4" width="15.42578125" style="122" customWidth="1"/>
    <col min="5" max="5" width="17.140625" style="122" customWidth="1"/>
    <col min="6" max="6" width="9.5703125" bestFit="1" customWidth="1"/>
  </cols>
  <sheetData>
    <row r="1" spans="1:5" ht="22.5" customHeight="1">
      <c r="A1" s="6"/>
      <c r="B1" s="6"/>
      <c r="C1" s="6"/>
      <c r="D1" s="266" t="s">
        <v>14</v>
      </c>
      <c r="E1" s="266"/>
    </row>
    <row r="2" spans="1:5" ht="83.25" customHeight="1">
      <c r="A2" s="231"/>
      <c r="B2" s="231"/>
      <c r="C2" s="267" t="s">
        <v>194</v>
      </c>
      <c r="D2" s="267"/>
      <c r="E2" s="267"/>
    </row>
    <row r="3" spans="1:5" ht="45.75" customHeight="1">
      <c r="A3" s="216" t="s">
        <v>174</v>
      </c>
      <c r="B3" s="216"/>
      <c r="C3" s="216"/>
      <c r="D3" s="216"/>
      <c r="E3" s="216"/>
    </row>
    <row r="4" spans="1:5" ht="26.25" customHeight="1">
      <c r="A4" s="261" t="s">
        <v>13</v>
      </c>
      <c r="B4" s="261"/>
      <c r="C4" s="261"/>
      <c r="D4" s="261"/>
      <c r="E4" s="261"/>
    </row>
    <row r="5" spans="1:5" s="146" customFormat="1" ht="35.1" customHeight="1">
      <c r="A5" s="262" t="s">
        <v>156</v>
      </c>
      <c r="B5" s="264" t="s">
        <v>131</v>
      </c>
      <c r="C5" s="250" t="s">
        <v>179</v>
      </c>
      <c r="D5" s="250" t="s">
        <v>161</v>
      </c>
      <c r="E5" s="250" t="s">
        <v>162</v>
      </c>
    </row>
    <row r="6" spans="1:5" s="117" customFormat="1" ht="13.5" customHeight="1">
      <c r="A6" s="263"/>
      <c r="B6" s="265"/>
      <c r="C6" s="251"/>
      <c r="D6" s="251"/>
      <c r="E6" s="251"/>
    </row>
    <row r="7" spans="1:5" s="5" customFormat="1" ht="24.75" customHeight="1">
      <c r="A7" s="27">
        <v>4111</v>
      </c>
      <c r="B7" s="7" t="s">
        <v>22</v>
      </c>
      <c r="C7" s="124">
        <v>277331.03000000003</v>
      </c>
      <c r="D7" s="124">
        <v>400000</v>
      </c>
      <c r="E7" s="124">
        <f>+'[2]Sheet3 '!$E$27</f>
        <v>400000</v>
      </c>
    </row>
    <row r="8" spans="1:5" s="5" customFormat="1" ht="21" customHeight="1">
      <c r="A8" s="27">
        <v>4112</v>
      </c>
      <c r="B8" s="7" t="s">
        <v>23</v>
      </c>
      <c r="C8" s="124">
        <v>64760.591999999997</v>
      </c>
      <c r="D8" s="124">
        <v>100700</v>
      </c>
      <c r="E8" s="124">
        <f>+'[2]Sheet3 '!$E$28</f>
        <v>122142</v>
      </c>
    </row>
    <row r="9" spans="1:5" s="5" customFormat="1" ht="22.5" customHeight="1">
      <c r="A9" s="27">
        <v>4115</v>
      </c>
      <c r="B9" s="7" t="s">
        <v>67</v>
      </c>
      <c r="C9" s="124">
        <v>23599.214</v>
      </c>
      <c r="D9" s="124">
        <v>16000</v>
      </c>
      <c r="E9" s="124">
        <f>+'[2]Sheet3 '!$E$29</f>
        <v>16000</v>
      </c>
    </row>
    <row r="10" spans="1:5" s="5" customFormat="1" ht="23.25" customHeight="1">
      <c r="A10" s="27">
        <v>4211</v>
      </c>
      <c r="B10" s="7" t="s">
        <v>100</v>
      </c>
      <c r="C10" s="124"/>
      <c r="D10" s="124">
        <v>2000</v>
      </c>
      <c r="E10" s="124">
        <f>+'[2]Sheet3 '!$E$40</f>
        <v>2000</v>
      </c>
    </row>
    <row r="11" spans="1:5" s="5" customFormat="1" ht="21" customHeight="1">
      <c r="A11" s="27">
        <v>4212</v>
      </c>
      <c r="B11" s="7" t="s">
        <v>24</v>
      </c>
      <c r="C11" s="124">
        <v>31449.679</v>
      </c>
      <c r="D11" s="124">
        <v>45500</v>
      </c>
      <c r="E11" s="124">
        <f>+'[2]Sheet3 '!$E$41</f>
        <v>52000</v>
      </c>
    </row>
    <row r="12" spans="1:5" s="5" customFormat="1" ht="25.5" customHeight="1">
      <c r="A12" s="27">
        <v>4213</v>
      </c>
      <c r="B12" s="7" t="s">
        <v>25</v>
      </c>
      <c r="C12" s="124">
        <v>84108.21</v>
      </c>
      <c r="D12" s="124">
        <v>76864</v>
      </c>
      <c r="E12" s="124">
        <f>+'[2]Sheet3 '!$E$42</f>
        <v>78100</v>
      </c>
    </row>
    <row r="13" spans="1:5" s="5" customFormat="1" ht="22.5" customHeight="1">
      <c r="A13" s="27">
        <v>4214</v>
      </c>
      <c r="B13" s="7" t="s">
        <v>26</v>
      </c>
      <c r="C13" s="124">
        <v>1883.8869999999999</v>
      </c>
      <c r="D13" s="124">
        <v>3064</v>
      </c>
      <c r="E13" s="124">
        <f>+'[2]Sheet3 '!$E$43</f>
        <v>3064</v>
      </c>
    </row>
    <row r="14" spans="1:5" s="5" customFormat="1" ht="21.75" customHeight="1">
      <c r="A14" s="27">
        <v>4215</v>
      </c>
      <c r="B14" s="7" t="s">
        <v>27</v>
      </c>
      <c r="C14" s="124">
        <v>200</v>
      </c>
      <c r="D14" s="124">
        <v>980</v>
      </c>
      <c r="E14" s="124">
        <f>+'[2]Sheet3 '!$E$44</f>
        <v>10000</v>
      </c>
    </row>
    <row r="15" spans="1:5" s="5" customFormat="1" ht="35.25" customHeight="1">
      <c r="A15" s="27">
        <v>4216</v>
      </c>
      <c r="B15" s="7" t="s">
        <v>28</v>
      </c>
      <c r="C15" s="124">
        <v>78</v>
      </c>
      <c r="D15" s="124">
        <v>6300</v>
      </c>
      <c r="E15" s="124">
        <f>+'[2]Sheet3 '!$E$45</f>
        <v>11300</v>
      </c>
    </row>
    <row r="16" spans="1:5" s="5" customFormat="1" ht="23.25" customHeight="1">
      <c r="A16" s="27">
        <v>4221</v>
      </c>
      <c r="B16" s="7" t="s">
        <v>29</v>
      </c>
      <c r="C16" s="124">
        <v>1927.2</v>
      </c>
      <c r="D16" s="124">
        <v>2000</v>
      </c>
      <c r="E16" s="124">
        <f>+'[2]Sheet3 '!$E$49</f>
        <v>2000</v>
      </c>
    </row>
    <row r="17" spans="1:5" s="5" customFormat="1" ht="35.1" customHeight="1">
      <c r="A17" s="27">
        <v>4222</v>
      </c>
      <c r="B17" s="7" t="s">
        <v>128</v>
      </c>
      <c r="C17" s="124">
        <v>250.512</v>
      </c>
      <c r="D17" s="124">
        <v>5000</v>
      </c>
      <c r="E17" s="124">
        <f>+'[2]Sheet3 '!$E$50</f>
        <v>5000</v>
      </c>
    </row>
    <row r="18" spans="1:5" s="5" customFormat="1" ht="20.25" customHeight="1">
      <c r="A18" s="27">
        <v>4231</v>
      </c>
      <c r="B18" s="7" t="s">
        <v>30</v>
      </c>
      <c r="C18" s="124">
        <v>266.95</v>
      </c>
      <c r="D18" s="124">
        <v>300</v>
      </c>
      <c r="E18" s="124">
        <f>+'[2]Sheet3 '!$E$54</f>
        <v>300</v>
      </c>
    </row>
    <row r="19" spans="1:5" s="5" customFormat="1" ht="24" customHeight="1">
      <c r="A19" s="27">
        <v>4232</v>
      </c>
      <c r="B19" s="7" t="s">
        <v>31</v>
      </c>
      <c r="C19" s="124">
        <v>3672</v>
      </c>
      <c r="D19" s="124">
        <v>4110</v>
      </c>
      <c r="E19" s="124">
        <f>+'[2]Sheet3 '!$E$55</f>
        <v>6000</v>
      </c>
    </row>
    <row r="20" spans="1:5" s="5" customFormat="1" ht="35.1" customHeight="1">
      <c r="A20" s="27">
        <v>4233</v>
      </c>
      <c r="B20" s="7" t="s">
        <v>68</v>
      </c>
      <c r="C20" s="124"/>
      <c r="D20" s="124">
        <v>7000</v>
      </c>
      <c r="E20" s="124">
        <f>+'[2]Sheet3 '!$E$56</f>
        <v>7000</v>
      </c>
    </row>
    <row r="21" spans="1:5" s="5" customFormat="1" ht="22.5" customHeight="1">
      <c r="A21" s="27">
        <v>4234</v>
      </c>
      <c r="B21" s="7" t="s">
        <v>32</v>
      </c>
      <c r="C21" s="124">
        <v>305.75</v>
      </c>
      <c r="D21" s="124">
        <v>2000</v>
      </c>
      <c r="E21" s="124">
        <f>+'[2]Sheet3 '!$E$57</f>
        <v>2000</v>
      </c>
    </row>
    <row r="22" spans="1:5" s="5" customFormat="1" ht="21.75" customHeight="1">
      <c r="A22" s="27">
        <v>4235</v>
      </c>
      <c r="B22" s="7" t="s">
        <v>84</v>
      </c>
      <c r="C22" s="124"/>
      <c r="D22" s="124">
        <v>4000</v>
      </c>
      <c r="E22" s="124">
        <f>+'[2]Sheet3 '!$E$58</f>
        <v>4000</v>
      </c>
    </row>
    <row r="23" spans="1:5" s="5" customFormat="1" ht="35.1" customHeight="1">
      <c r="A23" s="27">
        <v>4236</v>
      </c>
      <c r="B23" s="7" t="s">
        <v>33</v>
      </c>
      <c r="C23" s="124">
        <v>1790</v>
      </c>
      <c r="D23" s="124">
        <v>3000</v>
      </c>
      <c r="E23" s="124">
        <f>+'[2]Sheet3 '!$E$59</f>
        <v>3000</v>
      </c>
    </row>
    <row r="24" spans="1:5" s="5" customFormat="1" ht="22.5" customHeight="1">
      <c r="A24" s="27">
        <v>4237</v>
      </c>
      <c r="B24" s="7" t="s">
        <v>34</v>
      </c>
      <c r="C24" s="124">
        <v>6029.5429999999997</v>
      </c>
      <c r="D24" s="124">
        <v>12000</v>
      </c>
      <c r="E24" s="124">
        <f>+'[2]Sheet3 '!$E$60</f>
        <v>15990</v>
      </c>
    </row>
    <row r="25" spans="1:5" s="5" customFormat="1" ht="35.1" customHeight="1">
      <c r="A25" s="27">
        <v>4239</v>
      </c>
      <c r="B25" s="7" t="s">
        <v>35</v>
      </c>
      <c r="C25" s="124">
        <v>3683</v>
      </c>
      <c r="D25" s="124">
        <v>18900</v>
      </c>
      <c r="E25" s="124">
        <f>+'[2]Sheet3 '!$E$61</f>
        <v>20000</v>
      </c>
    </row>
    <row r="26" spans="1:5" s="5" customFormat="1" ht="27" customHeight="1">
      <c r="A26" s="27">
        <v>4241</v>
      </c>
      <c r="B26" s="7" t="s">
        <v>36</v>
      </c>
      <c r="C26" s="124">
        <v>7019.8620000000001</v>
      </c>
      <c r="D26" s="124">
        <v>16990</v>
      </c>
      <c r="E26" s="124">
        <f>+'[2]Sheet3 '!$E$64</f>
        <v>17490</v>
      </c>
    </row>
    <row r="27" spans="1:5" s="5" customFormat="1" ht="35.1" customHeight="1">
      <c r="A27" s="28">
        <v>4251</v>
      </c>
      <c r="B27" s="7" t="s">
        <v>37</v>
      </c>
      <c r="C27" s="124"/>
      <c r="D27" s="124">
        <v>10000</v>
      </c>
      <c r="E27" s="124">
        <f>+'[2]Sheet3 '!$E$67</f>
        <v>20000</v>
      </c>
    </row>
    <row r="28" spans="1:5" s="5" customFormat="1" ht="35.1" customHeight="1">
      <c r="A28" s="28">
        <v>4252</v>
      </c>
      <c r="B28" s="7" t="s">
        <v>38</v>
      </c>
      <c r="C28" s="124">
        <v>1117</v>
      </c>
      <c r="D28" s="124">
        <v>6500</v>
      </c>
      <c r="E28" s="124">
        <f>+'[2]Sheet3 '!$E$68</f>
        <v>8000</v>
      </c>
    </row>
    <row r="29" spans="1:5" s="5" customFormat="1" ht="25.5" customHeight="1">
      <c r="A29" s="28">
        <v>4261</v>
      </c>
      <c r="B29" s="7" t="s">
        <v>39</v>
      </c>
      <c r="C29" s="124">
        <v>3883.58</v>
      </c>
      <c r="D29" s="124">
        <v>4000</v>
      </c>
      <c r="E29" s="124">
        <f>+'[2]Sheet3 '!$E$71</f>
        <v>5000</v>
      </c>
    </row>
    <row r="30" spans="1:5" s="5" customFormat="1" ht="25.5" customHeight="1">
      <c r="A30" s="28">
        <v>4264</v>
      </c>
      <c r="B30" s="7" t="s">
        <v>40</v>
      </c>
      <c r="C30" s="124">
        <v>6104.2</v>
      </c>
      <c r="D30" s="124">
        <v>13900</v>
      </c>
      <c r="E30" s="124">
        <f>+'[2]Sheet3 '!$E$74</f>
        <v>13900</v>
      </c>
    </row>
    <row r="31" spans="1:5" s="5" customFormat="1" ht="35.1" customHeight="1">
      <c r="A31" s="28">
        <v>4267</v>
      </c>
      <c r="B31" s="7" t="s">
        <v>127</v>
      </c>
      <c r="C31" s="124">
        <v>5.2</v>
      </c>
      <c r="D31" s="124">
        <v>4000</v>
      </c>
      <c r="E31" s="124">
        <f>+'[2]Sheet3 '!$E$77</f>
        <v>4000</v>
      </c>
    </row>
    <row r="32" spans="1:5" s="5" customFormat="1" ht="25.5" customHeight="1">
      <c r="A32" s="28">
        <v>4269</v>
      </c>
      <c r="B32" s="7" t="s">
        <v>42</v>
      </c>
      <c r="C32" s="124">
        <v>11224.579</v>
      </c>
      <c r="D32" s="124">
        <v>37000</v>
      </c>
      <c r="E32" s="124">
        <f>+'[2]Sheet3 '!$E$78</f>
        <v>38000</v>
      </c>
    </row>
    <row r="33" spans="1:6" s="5" customFormat="1" ht="48.75" customHeight="1">
      <c r="A33" s="28">
        <v>4511</v>
      </c>
      <c r="B33" s="7" t="s">
        <v>43</v>
      </c>
      <c r="C33" s="67">
        <v>409872.14600000001</v>
      </c>
      <c r="D33" s="67">
        <v>455188.7</v>
      </c>
      <c r="E33" s="67">
        <f>+'[2]Sheet3 '!$E$98</f>
        <v>491688.7</v>
      </c>
    </row>
    <row r="34" spans="1:6" s="5" customFormat="1" ht="29.25" hidden="1" customHeight="1">
      <c r="A34" s="28">
        <v>4521</v>
      </c>
      <c r="B34" s="7" t="s">
        <v>104</v>
      </c>
      <c r="C34" s="67"/>
      <c r="D34" s="67"/>
      <c r="E34" s="67"/>
    </row>
    <row r="35" spans="1:6" s="5" customFormat="1" ht="57" customHeight="1">
      <c r="A35" s="28">
        <v>4637</v>
      </c>
      <c r="B35" s="7" t="s">
        <v>44</v>
      </c>
      <c r="C35" s="66">
        <v>8812.7999999999993</v>
      </c>
      <c r="D35" s="66">
        <v>5011.3</v>
      </c>
      <c r="E35" s="66">
        <f>+'[2]Sheet3 '!$E$116</f>
        <v>15011.3</v>
      </c>
    </row>
    <row r="36" spans="1:6" s="5" customFormat="1" ht="26.25" customHeight="1">
      <c r="A36" s="28">
        <v>4657</v>
      </c>
      <c r="B36" s="7" t="s">
        <v>82</v>
      </c>
      <c r="C36" s="67">
        <v>12928.407999999999</v>
      </c>
      <c r="D36" s="67">
        <v>16853.849999999999</v>
      </c>
      <c r="E36" s="67">
        <f>+'[2]Sheet3 '!$E$130</f>
        <v>20000</v>
      </c>
    </row>
    <row r="37" spans="1:6" s="5" customFormat="1" ht="24" customHeight="1">
      <c r="A37" s="28">
        <v>4729</v>
      </c>
      <c r="B37" s="7" t="s">
        <v>45</v>
      </c>
      <c r="C37" s="124">
        <v>12867.1</v>
      </c>
      <c r="D37" s="124">
        <v>16000</v>
      </c>
      <c r="E37" s="124">
        <f>+'[2]Sheet3 '!$E$149+[2]Sheet6!$G$437+[2]Sheet6!$G$466</f>
        <v>18300</v>
      </c>
    </row>
    <row r="38" spans="1:6" s="5" customFormat="1" ht="43.5" customHeight="1">
      <c r="A38" s="28">
        <v>4819</v>
      </c>
      <c r="B38" s="7" t="s">
        <v>46</v>
      </c>
      <c r="C38" s="124">
        <v>773.3</v>
      </c>
      <c r="D38" s="124">
        <v>2000</v>
      </c>
      <c r="E38" s="124">
        <f>+'[2]Sheet3 '!$E$158</f>
        <v>2000</v>
      </c>
    </row>
    <row r="39" spans="1:6" s="5" customFormat="1" ht="24.75" customHeight="1">
      <c r="A39" s="28">
        <v>4823</v>
      </c>
      <c r="B39" s="7" t="s">
        <v>47</v>
      </c>
      <c r="C39" s="124">
        <v>2215.8339999999998</v>
      </c>
      <c r="D39" s="124">
        <v>6400</v>
      </c>
      <c r="E39" s="124">
        <f>+'[2]Sheet3 '!$E$163</f>
        <v>6400</v>
      </c>
    </row>
    <row r="40" spans="1:6" s="5" customFormat="1" ht="35.1" hidden="1" customHeight="1">
      <c r="A40" s="42">
        <v>4824</v>
      </c>
      <c r="B40" s="43" t="s">
        <v>101</v>
      </c>
      <c r="C40" s="124"/>
      <c r="D40" s="124"/>
      <c r="E40" s="124"/>
    </row>
    <row r="41" spans="1:6" s="5" customFormat="1" ht="35.1" hidden="1" customHeight="1">
      <c r="A41" s="42">
        <v>4841</v>
      </c>
      <c r="B41" s="43" t="s">
        <v>105</v>
      </c>
      <c r="C41" s="124"/>
      <c r="D41" s="124"/>
      <c r="E41" s="124"/>
    </row>
    <row r="42" spans="1:6" s="5" customFormat="1" ht="25.5" customHeight="1">
      <c r="A42" s="28">
        <v>4891</v>
      </c>
      <c r="B42" s="7" t="s">
        <v>48</v>
      </c>
      <c r="C42" s="67"/>
      <c r="D42" s="67">
        <v>174276.15</v>
      </c>
      <c r="E42" s="67">
        <f>+'[2]Sheet3 '!$E$180</f>
        <v>300314</v>
      </c>
    </row>
    <row r="43" spans="1:6" s="5" customFormat="1" ht="23.25" customHeight="1">
      <c r="A43" s="119"/>
      <c r="B43" s="120" t="s">
        <v>8</v>
      </c>
      <c r="C43" s="202">
        <f>SUM(C7:C42)</f>
        <v>978159.57600000023</v>
      </c>
      <c r="D43" s="202">
        <f>SUM(D7:D42)</f>
        <v>1477838</v>
      </c>
      <c r="E43" s="202">
        <f>SUM(E7:E42)</f>
        <v>1720000</v>
      </c>
      <c r="F43" s="148"/>
    </row>
    <row r="44" spans="1:6" s="5" customFormat="1" ht="24.75" customHeight="1">
      <c r="A44" s="28">
        <v>5112</v>
      </c>
      <c r="B44" s="7" t="s">
        <v>49</v>
      </c>
      <c r="C44" s="124">
        <v>432472.16700000002</v>
      </c>
      <c r="D44" s="124">
        <v>400500</v>
      </c>
      <c r="E44" s="124">
        <f>+'[2]Sheet3 '!$F$189</f>
        <v>880000</v>
      </c>
    </row>
    <row r="45" spans="1:6" s="5" customFormat="1" ht="35.1" customHeight="1">
      <c r="A45" s="27">
        <v>5113</v>
      </c>
      <c r="B45" s="7" t="s">
        <v>50</v>
      </c>
      <c r="C45" s="124">
        <v>36846.546999999999</v>
      </c>
      <c r="D45" s="124">
        <v>1000</v>
      </c>
      <c r="E45" s="124">
        <f>+'[2]Sheet3 '!$F$190</f>
        <v>220000</v>
      </c>
    </row>
    <row r="46" spans="1:6" s="5" customFormat="1" ht="20.25" hidden="1" customHeight="1">
      <c r="A46" s="27">
        <v>5121</v>
      </c>
      <c r="B46" s="7" t="s">
        <v>19</v>
      </c>
      <c r="C46" s="124"/>
      <c r="D46" s="124"/>
      <c r="E46" s="124"/>
    </row>
    <row r="47" spans="1:6" s="5" customFormat="1" ht="18" customHeight="1">
      <c r="A47" s="27">
        <v>5122</v>
      </c>
      <c r="B47" s="7" t="s">
        <v>51</v>
      </c>
      <c r="C47" s="124">
        <v>12662.1</v>
      </c>
      <c r="D47" s="124">
        <v>45000</v>
      </c>
      <c r="E47" s="124">
        <f>+'[2]Sheet3 '!$F$194</f>
        <v>50866.395000000004</v>
      </c>
    </row>
    <row r="48" spans="1:6" s="5" customFormat="1" ht="18.75" hidden="1" customHeight="1">
      <c r="A48" s="27">
        <v>5129</v>
      </c>
      <c r="B48" s="7" t="s">
        <v>120</v>
      </c>
      <c r="C48" s="124"/>
      <c r="D48" s="124"/>
      <c r="E48" s="124"/>
    </row>
    <row r="49" spans="1:5" s="5" customFormat="1" ht="17.25" hidden="1" customHeight="1">
      <c r="A49" s="27">
        <v>5131</v>
      </c>
      <c r="B49" s="7" t="s">
        <v>122</v>
      </c>
      <c r="C49" s="124"/>
      <c r="D49" s="124"/>
      <c r="E49" s="124"/>
    </row>
    <row r="50" spans="1:5" s="5" customFormat="1" ht="25.5" hidden="1" customHeight="1">
      <c r="A50" s="27">
        <v>5132</v>
      </c>
      <c r="B50" s="7" t="s">
        <v>121</v>
      </c>
      <c r="C50" s="124"/>
      <c r="D50" s="124"/>
      <c r="E50" s="124"/>
    </row>
    <row r="51" spans="1:5" s="5" customFormat="1" ht="21" customHeight="1">
      <c r="A51" s="27">
        <v>5134</v>
      </c>
      <c r="B51" s="7" t="s">
        <v>83</v>
      </c>
      <c r="C51" s="124">
        <v>17743</v>
      </c>
      <c r="D51" s="124">
        <v>20000</v>
      </c>
      <c r="E51" s="124">
        <f>+'[2]Sheet3 '!$F$201</f>
        <v>22000</v>
      </c>
    </row>
    <row r="52" spans="1:5" s="5" customFormat="1" ht="22.5" hidden="1" customHeight="1">
      <c r="A52" s="27">
        <v>5221</v>
      </c>
      <c r="B52" s="7" t="s">
        <v>123</v>
      </c>
      <c r="C52" s="67"/>
      <c r="D52" s="124"/>
      <c r="E52" s="124"/>
    </row>
    <row r="53" spans="1:5" s="5" customFormat="1" ht="24" customHeight="1">
      <c r="A53" s="119"/>
      <c r="B53" s="120" t="s">
        <v>21</v>
      </c>
      <c r="C53" s="70">
        <f>+C43+C44+C45+C46+C47+C48+C49+C50+C51+C52</f>
        <v>1477883.3900000004</v>
      </c>
      <c r="D53" s="202">
        <f>+D43+D44+D45+D46+D47+D48+D49+D50+D51+D52</f>
        <v>1944338</v>
      </c>
      <c r="E53" s="202">
        <f>+E43+E44+E45+E46+E47+E48+E49+E50+E51+E52</f>
        <v>2892866.395</v>
      </c>
    </row>
    <row r="54" spans="1:5" ht="55.5" customHeight="1">
      <c r="A54" s="235" t="s">
        <v>190</v>
      </c>
      <c r="B54" s="235"/>
      <c r="C54" s="235"/>
      <c r="D54" s="235"/>
      <c r="E54" s="235"/>
    </row>
    <row r="55" spans="1:5" ht="22.5" customHeight="1">
      <c r="A55" s="257" t="s">
        <v>188</v>
      </c>
      <c r="B55" s="257"/>
      <c r="C55" s="257"/>
      <c r="D55" s="257"/>
      <c r="E55" s="257"/>
    </row>
    <row r="56" spans="1:5" s="35" customFormat="1" ht="35.1" customHeight="1">
      <c r="C56" s="122"/>
      <c r="D56" s="122"/>
      <c r="E56" s="122"/>
    </row>
    <row r="57" spans="1:5" s="35" customFormat="1" ht="35.1" customHeight="1">
      <c r="C57" s="122"/>
      <c r="D57" s="122"/>
      <c r="E57" s="122"/>
    </row>
    <row r="58" spans="1:5" s="35" customFormat="1" ht="35.1" customHeight="1">
      <c r="C58" s="122"/>
      <c r="D58" s="122"/>
      <c r="E58" s="122"/>
    </row>
    <row r="59" spans="1:5" s="35" customFormat="1" ht="35.1" customHeight="1">
      <c r="C59" s="122"/>
      <c r="D59" s="122"/>
      <c r="E59" s="122"/>
    </row>
    <row r="60" spans="1:5" s="35" customFormat="1" ht="35.1" customHeight="1">
      <c r="C60" s="122"/>
      <c r="D60" s="122"/>
      <c r="E60" s="122"/>
    </row>
    <row r="61" spans="1:5" s="35" customFormat="1" ht="35.1" customHeight="1">
      <c r="C61" s="122"/>
      <c r="D61" s="122"/>
      <c r="E61" s="122"/>
    </row>
    <row r="62" spans="1:5" s="35" customFormat="1" ht="35.1" customHeight="1">
      <c r="C62" s="122"/>
      <c r="D62" s="122"/>
      <c r="E62" s="122"/>
    </row>
    <row r="63" spans="1:5" s="35" customFormat="1" ht="35.1" customHeight="1">
      <c r="C63" s="122"/>
      <c r="D63" s="122"/>
      <c r="E63" s="122"/>
    </row>
    <row r="64" spans="1:5" s="35" customFormat="1" ht="35.1" customHeight="1">
      <c r="C64" s="122"/>
      <c r="D64" s="122"/>
      <c r="E64" s="122"/>
    </row>
    <row r="65" spans="3:5" s="35" customFormat="1" ht="35.1" customHeight="1">
      <c r="C65" s="122"/>
      <c r="D65" s="122"/>
      <c r="E65" s="122"/>
    </row>
    <row r="66" spans="3:5" s="35" customFormat="1" ht="35.1" customHeight="1">
      <c r="C66" s="122"/>
      <c r="D66" s="122"/>
      <c r="E66" s="122"/>
    </row>
    <row r="67" spans="3:5" s="35" customFormat="1" ht="35.1" customHeight="1">
      <c r="C67" s="122"/>
      <c r="D67" s="122"/>
      <c r="E67" s="122"/>
    </row>
    <row r="68" spans="3:5" s="35" customFormat="1" ht="35.1" customHeight="1">
      <c r="C68" s="122"/>
      <c r="D68" s="122"/>
      <c r="E68" s="122"/>
    </row>
    <row r="69" spans="3:5" s="35" customFormat="1" ht="35.1" customHeight="1">
      <c r="C69" s="122"/>
      <c r="D69" s="122"/>
      <c r="E69" s="122"/>
    </row>
    <row r="70" spans="3:5" s="35" customFormat="1" ht="35.1" customHeight="1">
      <c r="C70" s="122"/>
      <c r="D70" s="122"/>
      <c r="E70" s="122"/>
    </row>
    <row r="71" spans="3:5" s="35" customFormat="1" ht="35.1" customHeight="1">
      <c r="C71" s="122"/>
      <c r="D71" s="122"/>
      <c r="E71" s="122"/>
    </row>
    <row r="72" spans="3:5" s="35" customFormat="1" ht="35.1" customHeight="1">
      <c r="C72" s="122"/>
      <c r="D72" s="122"/>
      <c r="E72" s="122"/>
    </row>
    <row r="73" spans="3:5" s="35" customFormat="1" ht="35.1" customHeight="1">
      <c r="C73" s="122"/>
      <c r="D73" s="122"/>
      <c r="E73" s="122"/>
    </row>
    <row r="74" spans="3:5" s="35" customFormat="1" ht="35.1" customHeight="1">
      <c r="C74" s="122"/>
      <c r="D74" s="122"/>
      <c r="E74" s="122"/>
    </row>
    <row r="75" spans="3:5" s="35" customFormat="1" ht="35.1" customHeight="1">
      <c r="C75" s="122"/>
      <c r="D75" s="122"/>
      <c r="E75" s="122"/>
    </row>
    <row r="76" spans="3:5" s="35" customFormat="1" ht="35.1" customHeight="1">
      <c r="C76" s="122"/>
      <c r="D76" s="122"/>
      <c r="E76" s="122"/>
    </row>
    <row r="77" spans="3:5" s="35" customFormat="1" ht="35.1" customHeight="1">
      <c r="C77" s="122"/>
      <c r="D77" s="122"/>
      <c r="E77" s="122"/>
    </row>
    <row r="78" spans="3:5" s="35" customFormat="1" ht="35.1" customHeight="1">
      <c r="C78" s="122"/>
      <c r="D78" s="122"/>
      <c r="E78" s="122"/>
    </row>
    <row r="79" spans="3:5" s="35" customFormat="1" ht="35.1" customHeight="1">
      <c r="C79" s="122"/>
      <c r="D79" s="122"/>
      <c r="E79" s="122"/>
    </row>
    <row r="80" spans="3:5" s="35" customFormat="1" ht="35.1" customHeight="1">
      <c r="C80" s="122"/>
      <c r="D80" s="122"/>
      <c r="E80" s="122"/>
    </row>
    <row r="81" spans="3:5" s="35" customFormat="1" ht="35.1" customHeight="1">
      <c r="C81" s="122"/>
      <c r="D81" s="122"/>
      <c r="E81" s="122"/>
    </row>
    <row r="82" spans="3:5" s="35" customFormat="1" ht="35.1" customHeight="1">
      <c r="C82" s="122"/>
      <c r="D82" s="122"/>
      <c r="E82" s="122"/>
    </row>
    <row r="83" spans="3:5" s="35" customFormat="1" ht="35.1" customHeight="1">
      <c r="C83" s="122"/>
      <c r="D83" s="122"/>
      <c r="E83" s="122"/>
    </row>
    <row r="84" spans="3:5" s="35" customFormat="1" ht="35.1" customHeight="1">
      <c r="C84" s="122"/>
      <c r="D84" s="122"/>
      <c r="E84" s="122"/>
    </row>
    <row r="85" spans="3:5" s="35" customFormat="1" ht="35.1" customHeight="1">
      <c r="C85" s="122"/>
      <c r="D85" s="122"/>
      <c r="E85" s="122"/>
    </row>
    <row r="86" spans="3:5" s="35" customFormat="1" ht="35.1" customHeight="1">
      <c r="C86" s="122"/>
      <c r="D86" s="122"/>
      <c r="E86" s="122"/>
    </row>
    <row r="87" spans="3:5" s="35" customFormat="1" ht="35.1" customHeight="1">
      <c r="C87" s="122"/>
      <c r="D87" s="122"/>
      <c r="E87" s="122"/>
    </row>
    <row r="88" spans="3:5" s="35" customFormat="1" ht="35.1" customHeight="1">
      <c r="C88" s="122"/>
      <c r="D88" s="122"/>
      <c r="E88" s="122"/>
    </row>
    <row r="89" spans="3:5" s="35" customFormat="1" ht="35.1" customHeight="1">
      <c r="C89" s="122"/>
      <c r="D89" s="122"/>
      <c r="E89" s="122"/>
    </row>
    <row r="90" spans="3:5" s="35" customFormat="1" ht="35.1" customHeight="1">
      <c r="C90" s="122"/>
      <c r="D90" s="122"/>
      <c r="E90" s="122"/>
    </row>
    <row r="91" spans="3:5" s="35" customFormat="1" ht="35.1" customHeight="1">
      <c r="C91" s="122"/>
      <c r="D91" s="122"/>
      <c r="E91" s="122"/>
    </row>
    <row r="92" spans="3:5" s="35" customFormat="1" ht="35.1" customHeight="1">
      <c r="C92" s="122"/>
      <c r="D92" s="122"/>
      <c r="E92" s="122"/>
    </row>
    <row r="93" spans="3:5" s="35" customFormat="1" ht="35.1" customHeight="1">
      <c r="C93" s="122"/>
      <c r="D93" s="122"/>
      <c r="E93" s="122"/>
    </row>
    <row r="94" spans="3:5" s="35" customFormat="1" ht="35.1" customHeight="1">
      <c r="C94" s="122"/>
      <c r="D94" s="122"/>
      <c r="E94" s="122"/>
    </row>
    <row r="95" spans="3:5" s="35" customFormat="1" ht="35.1" customHeight="1">
      <c r="C95" s="122"/>
      <c r="D95" s="122"/>
      <c r="E95" s="122"/>
    </row>
    <row r="96" spans="3:5" s="35" customFormat="1" ht="35.1" customHeight="1">
      <c r="C96" s="122"/>
      <c r="D96" s="122"/>
      <c r="E96" s="122"/>
    </row>
    <row r="97" spans="3:5" s="35" customFormat="1" ht="35.1" customHeight="1">
      <c r="C97" s="122"/>
      <c r="D97" s="122"/>
      <c r="E97" s="122"/>
    </row>
    <row r="98" spans="3:5" s="35" customFormat="1" ht="35.1" customHeight="1">
      <c r="C98" s="122"/>
      <c r="D98" s="122"/>
      <c r="E98" s="122"/>
    </row>
    <row r="99" spans="3:5" s="35" customFormat="1" ht="35.1" customHeight="1">
      <c r="C99" s="122"/>
      <c r="D99" s="122"/>
      <c r="E99" s="122"/>
    </row>
    <row r="100" spans="3:5" s="35" customFormat="1" ht="35.1" customHeight="1">
      <c r="C100" s="122"/>
      <c r="D100" s="122"/>
      <c r="E100" s="122"/>
    </row>
    <row r="101" spans="3:5" s="35" customFormat="1" ht="35.1" customHeight="1">
      <c r="C101" s="122"/>
      <c r="D101" s="122"/>
      <c r="E101" s="122"/>
    </row>
    <row r="102" spans="3:5" s="35" customFormat="1" ht="35.1" customHeight="1">
      <c r="C102" s="122"/>
      <c r="D102" s="122"/>
      <c r="E102" s="122"/>
    </row>
    <row r="103" spans="3:5" s="35" customFormat="1" ht="35.1" customHeight="1">
      <c r="C103" s="122"/>
      <c r="D103" s="122"/>
      <c r="E103" s="122"/>
    </row>
    <row r="104" spans="3:5" s="35" customFormat="1" ht="35.1" customHeight="1">
      <c r="C104" s="122"/>
      <c r="D104" s="122"/>
      <c r="E104" s="122"/>
    </row>
    <row r="105" spans="3:5" s="35" customFormat="1" ht="35.1" customHeight="1">
      <c r="C105" s="122"/>
      <c r="D105" s="122"/>
      <c r="E105" s="122"/>
    </row>
    <row r="106" spans="3:5" s="35" customFormat="1" ht="35.1" customHeight="1">
      <c r="C106" s="122"/>
      <c r="D106" s="122"/>
      <c r="E106" s="122"/>
    </row>
    <row r="107" spans="3:5" s="35" customFormat="1" ht="35.1" customHeight="1">
      <c r="C107" s="122"/>
      <c r="D107" s="122"/>
      <c r="E107" s="122"/>
    </row>
    <row r="108" spans="3:5" s="35" customFormat="1" ht="35.1" customHeight="1">
      <c r="C108" s="122"/>
      <c r="D108" s="122"/>
      <c r="E108" s="122"/>
    </row>
    <row r="109" spans="3:5" s="35" customFormat="1" ht="35.1" customHeight="1">
      <c r="C109" s="122"/>
      <c r="D109" s="122"/>
      <c r="E109" s="122"/>
    </row>
    <row r="110" spans="3:5" s="35" customFormat="1" ht="35.1" customHeight="1">
      <c r="C110" s="122"/>
      <c r="D110" s="122"/>
      <c r="E110" s="122"/>
    </row>
    <row r="111" spans="3:5" s="35" customFormat="1" ht="35.1" customHeight="1">
      <c r="C111" s="122"/>
      <c r="D111" s="122"/>
      <c r="E111" s="122"/>
    </row>
    <row r="112" spans="3:5" s="35" customFormat="1" ht="35.1" customHeight="1">
      <c r="C112" s="122"/>
      <c r="D112" s="122"/>
      <c r="E112" s="122"/>
    </row>
    <row r="113" spans="3:5" s="35" customFormat="1" ht="35.1" customHeight="1">
      <c r="C113" s="122"/>
      <c r="D113" s="122"/>
      <c r="E113" s="122"/>
    </row>
    <row r="114" spans="3:5" s="35" customFormat="1" ht="35.1" customHeight="1">
      <c r="C114" s="122"/>
      <c r="D114" s="122"/>
      <c r="E114" s="122"/>
    </row>
    <row r="115" spans="3:5" s="35" customFormat="1" ht="35.1" customHeight="1">
      <c r="C115" s="122"/>
      <c r="D115" s="122"/>
      <c r="E115" s="122"/>
    </row>
    <row r="116" spans="3:5" s="35" customFormat="1" ht="35.1" customHeight="1">
      <c r="C116" s="122"/>
      <c r="D116" s="122"/>
      <c r="E116" s="122"/>
    </row>
    <row r="117" spans="3:5" s="35" customFormat="1" ht="35.1" customHeight="1">
      <c r="C117" s="122"/>
      <c r="D117" s="122"/>
      <c r="E117" s="122"/>
    </row>
    <row r="118" spans="3:5" s="35" customFormat="1" ht="35.1" customHeight="1">
      <c r="C118" s="122"/>
      <c r="D118" s="122"/>
      <c r="E118" s="122"/>
    </row>
    <row r="119" spans="3:5" s="35" customFormat="1" ht="35.1" customHeight="1">
      <c r="C119" s="122"/>
      <c r="D119" s="122"/>
      <c r="E119" s="122"/>
    </row>
    <row r="120" spans="3:5" s="35" customFormat="1" ht="35.1" customHeight="1">
      <c r="C120" s="122"/>
      <c r="D120" s="122"/>
      <c r="E120" s="122"/>
    </row>
    <row r="121" spans="3:5" s="35" customFormat="1" ht="35.1" customHeight="1">
      <c r="C121" s="122"/>
      <c r="D121" s="122"/>
      <c r="E121" s="122"/>
    </row>
    <row r="122" spans="3:5" s="35" customFormat="1" ht="35.1" customHeight="1">
      <c r="C122" s="122"/>
      <c r="D122" s="122"/>
      <c r="E122" s="122"/>
    </row>
    <row r="123" spans="3:5" s="35" customFormat="1" ht="35.1" customHeight="1">
      <c r="C123" s="122"/>
      <c r="D123" s="122"/>
      <c r="E123" s="122"/>
    </row>
    <row r="124" spans="3:5" s="35" customFormat="1" ht="35.1" customHeight="1">
      <c r="C124" s="122"/>
      <c r="D124" s="122"/>
      <c r="E124" s="122"/>
    </row>
    <row r="125" spans="3:5" s="35" customFormat="1" ht="35.1" customHeight="1">
      <c r="C125" s="122"/>
      <c r="D125" s="122"/>
      <c r="E125" s="122"/>
    </row>
    <row r="126" spans="3:5" s="35" customFormat="1" ht="35.1" customHeight="1">
      <c r="C126" s="122"/>
      <c r="D126" s="122"/>
      <c r="E126" s="122"/>
    </row>
    <row r="127" spans="3:5" s="35" customFormat="1" ht="35.1" customHeight="1">
      <c r="C127" s="122"/>
      <c r="D127" s="122"/>
      <c r="E127" s="122"/>
    </row>
    <row r="128" spans="3:5" s="35" customFormat="1" ht="35.1" customHeight="1">
      <c r="C128" s="122"/>
      <c r="D128" s="122"/>
      <c r="E128" s="122"/>
    </row>
    <row r="129" spans="3:5" s="35" customFormat="1" ht="35.1" customHeight="1">
      <c r="C129" s="122"/>
      <c r="D129" s="122"/>
      <c r="E129" s="122"/>
    </row>
    <row r="130" spans="3:5" s="35" customFormat="1" ht="35.1" customHeight="1">
      <c r="C130" s="122"/>
      <c r="D130" s="122"/>
      <c r="E130" s="122"/>
    </row>
    <row r="131" spans="3:5" s="35" customFormat="1" ht="35.1" customHeight="1">
      <c r="C131" s="122"/>
      <c r="D131" s="122"/>
      <c r="E131" s="122"/>
    </row>
    <row r="132" spans="3:5" s="35" customFormat="1" ht="35.1" customHeight="1">
      <c r="C132" s="122"/>
      <c r="D132" s="122"/>
      <c r="E132" s="122"/>
    </row>
    <row r="133" spans="3:5" s="35" customFormat="1" ht="35.1" customHeight="1">
      <c r="C133" s="122"/>
      <c r="D133" s="122"/>
      <c r="E133" s="122"/>
    </row>
    <row r="134" spans="3:5" s="35" customFormat="1" ht="35.1" customHeight="1">
      <c r="C134" s="122"/>
      <c r="D134" s="122"/>
      <c r="E134" s="122"/>
    </row>
    <row r="135" spans="3:5" s="35" customFormat="1" ht="35.1" customHeight="1">
      <c r="C135" s="122"/>
      <c r="D135" s="122"/>
      <c r="E135" s="122"/>
    </row>
    <row r="136" spans="3:5" s="35" customFormat="1" ht="35.1" customHeight="1">
      <c r="C136" s="122"/>
      <c r="D136" s="122"/>
      <c r="E136" s="122"/>
    </row>
    <row r="137" spans="3:5" s="35" customFormat="1" ht="35.1" customHeight="1">
      <c r="C137" s="122"/>
      <c r="D137" s="122"/>
      <c r="E137" s="122"/>
    </row>
    <row r="138" spans="3:5" s="35" customFormat="1" ht="35.1" customHeight="1">
      <c r="C138" s="122"/>
      <c r="D138" s="122"/>
      <c r="E138" s="122"/>
    </row>
    <row r="139" spans="3:5" s="35" customFormat="1" ht="35.1" customHeight="1">
      <c r="C139" s="122"/>
      <c r="D139" s="122"/>
      <c r="E139" s="122"/>
    </row>
    <row r="140" spans="3:5" s="35" customFormat="1" ht="35.1" customHeight="1">
      <c r="C140" s="122"/>
      <c r="D140" s="122"/>
      <c r="E140" s="122"/>
    </row>
    <row r="141" spans="3:5" s="35" customFormat="1" ht="35.1" customHeight="1">
      <c r="C141" s="122"/>
      <c r="D141" s="122"/>
      <c r="E141" s="122"/>
    </row>
    <row r="142" spans="3:5" s="35" customFormat="1" ht="35.1" customHeight="1">
      <c r="C142" s="122"/>
      <c r="D142" s="122"/>
      <c r="E142" s="122"/>
    </row>
    <row r="143" spans="3:5" s="35" customFormat="1" ht="35.1" customHeight="1">
      <c r="C143" s="122"/>
      <c r="D143" s="122"/>
      <c r="E143" s="122"/>
    </row>
    <row r="144" spans="3:5" s="35" customFormat="1" ht="35.1" customHeight="1">
      <c r="C144" s="122"/>
      <c r="D144" s="122"/>
      <c r="E144" s="122"/>
    </row>
    <row r="145" spans="3:5" s="35" customFormat="1" ht="35.1" customHeight="1">
      <c r="C145" s="122"/>
      <c r="D145" s="122"/>
      <c r="E145" s="122"/>
    </row>
    <row r="146" spans="3:5" s="35" customFormat="1" ht="35.1" customHeight="1">
      <c r="C146" s="122"/>
      <c r="D146" s="122"/>
      <c r="E146" s="122"/>
    </row>
    <row r="147" spans="3:5" s="35" customFormat="1" ht="35.1" customHeight="1">
      <c r="C147" s="122"/>
      <c r="D147" s="122"/>
      <c r="E147" s="122"/>
    </row>
    <row r="148" spans="3:5" s="35" customFormat="1" ht="35.1" customHeight="1">
      <c r="C148" s="122"/>
      <c r="D148" s="122"/>
      <c r="E148" s="122"/>
    </row>
    <row r="149" spans="3:5" s="35" customFormat="1" ht="35.1" customHeight="1">
      <c r="C149" s="122"/>
      <c r="D149" s="122"/>
      <c r="E149" s="122"/>
    </row>
    <row r="150" spans="3:5" s="35" customFormat="1" ht="35.1" customHeight="1">
      <c r="C150" s="122"/>
      <c r="D150" s="122"/>
      <c r="E150" s="122"/>
    </row>
    <row r="151" spans="3:5" s="35" customFormat="1" ht="35.1" customHeight="1">
      <c r="C151" s="122"/>
      <c r="D151" s="122"/>
      <c r="E151" s="122"/>
    </row>
    <row r="152" spans="3:5" s="35" customFormat="1" ht="35.1" customHeight="1">
      <c r="C152" s="122"/>
      <c r="D152" s="122"/>
      <c r="E152" s="122"/>
    </row>
    <row r="153" spans="3:5" s="35" customFormat="1" ht="35.1" customHeight="1">
      <c r="C153" s="122"/>
      <c r="D153" s="122"/>
      <c r="E153" s="122"/>
    </row>
    <row r="154" spans="3:5" s="35" customFormat="1" ht="35.1" customHeight="1">
      <c r="C154" s="122"/>
      <c r="D154" s="122"/>
      <c r="E154" s="122"/>
    </row>
    <row r="155" spans="3:5" s="35" customFormat="1" ht="35.1" customHeight="1">
      <c r="C155" s="122"/>
      <c r="D155" s="122"/>
      <c r="E155" s="122"/>
    </row>
    <row r="156" spans="3:5" s="35" customFormat="1" ht="35.1" customHeight="1">
      <c r="C156" s="122"/>
      <c r="D156" s="122"/>
      <c r="E156" s="122"/>
    </row>
    <row r="157" spans="3:5" s="35" customFormat="1" ht="35.1" customHeight="1">
      <c r="C157" s="122"/>
      <c r="D157" s="122"/>
      <c r="E157" s="122"/>
    </row>
    <row r="158" spans="3:5" s="35" customFormat="1" ht="35.1" customHeight="1">
      <c r="C158" s="122"/>
      <c r="D158" s="122"/>
      <c r="E158" s="122"/>
    </row>
    <row r="159" spans="3:5" s="35" customFormat="1" ht="35.1" customHeight="1">
      <c r="C159" s="122"/>
      <c r="D159" s="122"/>
      <c r="E159" s="122"/>
    </row>
    <row r="160" spans="3:5" s="35" customFormat="1" ht="35.1" customHeight="1">
      <c r="C160" s="122"/>
      <c r="D160" s="122"/>
      <c r="E160" s="122"/>
    </row>
    <row r="161" spans="3:5" s="35" customFormat="1" ht="35.1" customHeight="1">
      <c r="C161" s="122"/>
      <c r="D161" s="122"/>
      <c r="E161" s="122"/>
    </row>
    <row r="162" spans="3:5" s="35" customFormat="1" ht="35.1" customHeight="1">
      <c r="C162" s="122"/>
      <c r="D162" s="122"/>
      <c r="E162" s="122"/>
    </row>
    <row r="163" spans="3:5" s="35" customFormat="1" ht="35.1" customHeight="1">
      <c r="C163" s="122"/>
      <c r="D163" s="122"/>
      <c r="E163" s="122"/>
    </row>
    <row r="164" spans="3:5" s="35" customFormat="1" ht="35.1" customHeight="1">
      <c r="C164" s="122"/>
      <c r="D164" s="122"/>
      <c r="E164" s="122"/>
    </row>
    <row r="165" spans="3:5" s="35" customFormat="1" ht="35.1" customHeight="1">
      <c r="C165" s="122"/>
      <c r="D165" s="122"/>
      <c r="E165" s="122"/>
    </row>
    <row r="166" spans="3:5" s="35" customFormat="1" ht="35.1" customHeight="1">
      <c r="C166" s="122"/>
      <c r="D166" s="122"/>
      <c r="E166" s="122"/>
    </row>
    <row r="167" spans="3:5" s="35" customFormat="1" ht="35.1" customHeight="1">
      <c r="C167" s="122"/>
      <c r="D167" s="122"/>
      <c r="E167" s="122"/>
    </row>
    <row r="168" spans="3:5" s="35" customFormat="1" ht="35.1" customHeight="1">
      <c r="C168" s="122"/>
      <c r="D168" s="122"/>
      <c r="E168" s="122"/>
    </row>
    <row r="169" spans="3:5" s="35" customFormat="1" ht="35.1" customHeight="1">
      <c r="C169" s="122"/>
      <c r="D169" s="122"/>
      <c r="E169" s="122"/>
    </row>
    <row r="170" spans="3:5" s="35" customFormat="1" ht="35.1" customHeight="1">
      <c r="C170" s="122"/>
      <c r="D170" s="122"/>
      <c r="E170" s="122"/>
    </row>
    <row r="171" spans="3:5" s="35" customFormat="1" ht="35.1" customHeight="1">
      <c r="C171" s="122"/>
      <c r="D171" s="122"/>
      <c r="E171" s="122"/>
    </row>
    <row r="172" spans="3:5" s="35" customFormat="1" ht="35.1" customHeight="1">
      <c r="C172" s="122"/>
      <c r="D172" s="122"/>
      <c r="E172" s="122"/>
    </row>
    <row r="173" spans="3:5" s="35" customFormat="1" ht="35.1" customHeight="1">
      <c r="C173" s="122"/>
      <c r="D173" s="122"/>
      <c r="E173" s="122"/>
    </row>
    <row r="174" spans="3:5" s="35" customFormat="1" ht="35.1" customHeight="1">
      <c r="C174" s="122"/>
      <c r="D174" s="122"/>
      <c r="E174" s="122"/>
    </row>
    <row r="175" spans="3:5" s="35" customFormat="1" ht="35.1" customHeight="1">
      <c r="C175" s="122"/>
      <c r="D175" s="122"/>
      <c r="E175" s="122"/>
    </row>
    <row r="176" spans="3:5" s="35" customFormat="1" ht="35.1" customHeight="1">
      <c r="C176" s="122"/>
      <c r="D176" s="122"/>
      <c r="E176" s="122"/>
    </row>
    <row r="177" spans="3:5" s="35" customFormat="1" ht="35.1" customHeight="1">
      <c r="C177" s="122"/>
      <c r="D177" s="122"/>
      <c r="E177" s="122"/>
    </row>
    <row r="178" spans="3:5" s="35" customFormat="1" ht="35.1" customHeight="1">
      <c r="C178" s="122"/>
      <c r="D178" s="122"/>
      <c r="E178" s="122"/>
    </row>
    <row r="179" spans="3:5" s="35" customFormat="1" ht="35.1" customHeight="1">
      <c r="C179" s="122"/>
      <c r="D179" s="122"/>
      <c r="E179" s="122"/>
    </row>
    <row r="180" spans="3:5" s="35" customFormat="1" ht="35.1" customHeight="1">
      <c r="C180" s="122"/>
      <c r="D180" s="122"/>
      <c r="E180" s="122"/>
    </row>
    <row r="181" spans="3:5" s="35" customFormat="1" ht="35.1" customHeight="1">
      <c r="C181" s="122"/>
      <c r="D181" s="122"/>
      <c r="E181" s="122"/>
    </row>
    <row r="182" spans="3:5" s="35" customFormat="1" ht="35.1" customHeight="1">
      <c r="C182" s="122"/>
      <c r="D182" s="122"/>
      <c r="E182" s="122"/>
    </row>
    <row r="183" spans="3:5" s="35" customFormat="1" ht="35.1" customHeight="1">
      <c r="C183" s="122"/>
      <c r="D183" s="122"/>
      <c r="E183" s="122"/>
    </row>
    <row r="184" spans="3:5" s="35" customFormat="1" ht="35.1" customHeight="1">
      <c r="C184" s="122"/>
      <c r="D184" s="122"/>
      <c r="E184" s="122"/>
    </row>
    <row r="185" spans="3:5" s="35" customFormat="1" ht="35.1" customHeight="1">
      <c r="C185" s="122"/>
      <c r="D185" s="122"/>
      <c r="E185" s="122"/>
    </row>
    <row r="186" spans="3:5" s="35" customFormat="1" ht="35.1" customHeight="1">
      <c r="C186" s="122"/>
      <c r="D186" s="122"/>
      <c r="E186" s="122"/>
    </row>
    <row r="187" spans="3:5" s="35" customFormat="1" ht="35.1" customHeight="1">
      <c r="C187" s="122"/>
      <c r="D187" s="122"/>
      <c r="E187" s="122"/>
    </row>
    <row r="188" spans="3:5" s="35" customFormat="1" ht="35.1" customHeight="1">
      <c r="C188" s="122"/>
      <c r="D188" s="122"/>
      <c r="E188" s="122"/>
    </row>
    <row r="189" spans="3:5" s="35" customFormat="1" ht="35.1" customHeight="1">
      <c r="C189" s="122"/>
      <c r="D189" s="122"/>
      <c r="E189" s="122"/>
    </row>
    <row r="190" spans="3:5" s="35" customFormat="1" ht="35.1" customHeight="1">
      <c r="C190" s="122"/>
      <c r="D190" s="122"/>
      <c r="E190" s="122"/>
    </row>
    <row r="191" spans="3:5" s="35" customFormat="1" ht="35.1" customHeight="1">
      <c r="C191" s="122"/>
      <c r="D191" s="122"/>
      <c r="E191" s="122"/>
    </row>
    <row r="192" spans="3:5" s="35" customFormat="1" ht="35.1" customHeight="1">
      <c r="C192" s="122"/>
      <c r="D192" s="122"/>
      <c r="E192" s="122"/>
    </row>
    <row r="193" spans="3:5" s="35" customFormat="1" ht="35.1" customHeight="1">
      <c r="C193" s="122"/>
      <c r="D193" s="122"/>
      <c r="E193" s="122"/>
    </row>
    <row r="194" spans="3:5" s="35" customFormat="1" ht="35.1" customHeight="1">
      <c r="C194" s="122"/>
      <c r="D194" s="122"/>
      <c r="E194" s="122"/>
    </row>
    <row r="195" spans="3:5" s="35" customFormat="1" ht="35.1" customHeight="1">
      <c r="C195" s="122"/>
      <c r="D195" s="122"/>
      <c r="E195" s="122"/>
    </row>
    <row r="196" spans="3:5" s="35" customFormat="1" ht="35.1" customHeight="1">
      <c r="C196" s="122"/>
      <c r="D196" s="122"/>
      <c r="E196" s="122"/>
    </row>
    <row r="197" spans="3:5" s="35" customFormat="1" ht="35.1" customHeight="1">
      <c r="C197" s="122"/>
      <c r="D197" s="122"/>
      <c r="E197" s="122"/>
    </row>
    <row r="198" spans="3:5" s="35" customFormat="1" ht="35.1" customHeight="1">
      <c r="C198" s="122"/>
      <c r="D198" s="122"/>
      <c r="E198" s="122"/>
    </row>
    <row r="199" spans="3:5" s="35" customFormat="1" ht="35.1" customHeight="1">
      <c r="C199" s="122"/>
      <c r="D199" s="122"/>
      <c r="E199" s="122"/>
    </row>
    <row r="200" spans="3:5" s="35" customFormat="1" ht="35.1" customHeight="1">
      <c r="C200" s="122"/>
      <c r="D200" s="122"/>
      <c r="E200" s="122"/>
    </row>
    <row r="201" spans="3:5" s="35" customFormat="1" ht="35.1" customHeight="1">
      <c r="C201" s="122"/>
      <c r="D201" s="122"/>
      <c r="E201" s="122"/>
    </row>
    <row r="202" spans="3:5" s="35" customFormat="1" ht="35.1" customHeight="1">
      <c r="C202" s="122"/>
      <c r="D202" s="122"/>
      <c r="E202" s="122"/>
    </row>
    <row r="203" spans="3:5" s="35" customFormat="1" ht="35.1" customHeight="1">
      <c r="C203" s="122"/>
      <c r="D203" s="122"/>
      <c r="E203" s="122"/>
    </row>
    <row r="204" spans="3:5" s="35" customFormat="1" ht="35.1" customHeight="1">
      <c r="C204" s="122"/>
      <c r="D204" s="122"/>
      <c r="E204" s="122"/>
    </row>
    <row r="205" spans="3:5" s="35" customFormat="1" ht="35.1" customHeight="1">
      <c r="C205" s="122"/>
      <c r="D205" s="122"/>
      <c r="E205" s="122"/>
    </row>
    <row r="206" spans="3:5" s="35" customFormat="1" ht="35.1" customHeight="1">
      <c r="C206" s="122"/>
      <c r="D206" s="122"/>
      <c r="E206" s="122"/>
    </row>
    <row r="207" spans="3:5" s="35" customFormat="1" ht="35.1" customHeight="1">
      <c r="C207" s="122"/>
      <c r="D207" s="122"/>
      <c r="E207" s="122"/>
    </row>
    <row r="208" spans="3:5" s="35" customFormat="1" ht="35.1" customHeight="1">
      <c r="C208" s="122"/>
      <c r="D208" s="122"/>
      <c r="E208" s="122"/>
    </row>
    <row r="209" spans="3:5" s="35" customFormat="1" ht="35.1" customHeight="1">
      <c r="C209" s="122"/>
      <c r="D209" s="122"/>
      <c r="E209" s="122"/>
    </row>
    <row r="210" spans="3:5" s="35" customFormat="1" ht="35.1" customHeight="1">
      <c r="C210" s="122"/>
      <c r="D210" s="122"/>
      <c r="E210" s="122"/>
    </row>
    <row r="211" spans="3:5" s="35" customFormat="1" ht="35.1" customHeight="1">
      <c r="C211" s="122"/>
      <c r="D211" s="122"/>
      <c r="E211" s="122"/>
    </row>
    <row r="212" spans="3:5" s="35" customFormat="1" ht="35.1" customHeight="1">
      <c r="C212" s="122"/>
      <c r="D212" s="122"/>
      <c r="E212" s="122"/>
    </row>
    <row r="213" spans="3:5" s="35" customFormat="1" ht="35.1" customHeight="1">
      <c r="C213" s="122"/>
      <c r="D213" s="122"/>
      <c r="E213" s="122"/>
    </row>
    <row r="214" spans="3:5" s="35" customFormat="1" ht="35.1" customHeight="1">
      <c r="C214" s="122"/>
      <c r="D214" s="122"/>
      <c r="E214" s="122"/>
    </row>
    <row r="215" spans="3:5" s="35" customFormat="1" ht="35.1" customHeight="1">
      <c r="C215" s="122"/>
      <c r="D215" s="122"/>
      <c r="E215" s="122"/>
    </row>
    <row r="216" spans="3:5" s="35" customFormat="1" ht="35.1" customHeight="1">
      <c r="C216" s="122"/>
      <c r="D216" s="122"/>
      <c r="E216" s="122"/>
    </row>
    <row r="217" spans="3:5" s="35" customFormat="1" ht="35.1" customHeight="1">
      <c r="C217" s="122"/>
      <c r="D217" s="122"/>
      <c r="E217" s="122"/>
    </row>
    <row r="218" spans="3:5" s="35" customFormat="1" ht="35.1" customHeight="1">
      <c r="C218" s="122"/>
      <c r="D218" s="122"/>
      <c r="E218" s="122"/>
    </row>
    <row r="219" spans="3:5" s="35" customFormat="1" ht="35.1" customHeight="1">
      <c r="C219" s="122"/>
      <c r="D219" s="122"/>
      <c r="E219" s="122"/>
    </row>
    <row r="220" spans="3:5" s="35" customFormat="1" ht="35.1" customHeight="1">
      <c r="C220" s="122"/>
      <c r="D220" s="122"/>
      <c r="E220" s="122"/>
    </row>
    <row r="221" spans="3:5" s="35" customFormat="1" ht="35.1" customHeight="1">
      <c r="C221" s="122"/>
      <c r="D221" s="122"/>
      <c r="E221" s="122"/>
    </row>
    <row r="222" spans="3:5" s="35" customFormat="1" ht="35.1" customHeight="1">
      <c r="C222" s="122"/>
      <c r="D222" s="122"/>
      <c r="E222" s="122"/>
    </row>
    <row r="223" spans="3:5" s="35" customFormat="1" ht="35.1" customHeight="1">
      <c r="C223" s="122"/>
      <c r="D223" s="122"/>
      <c r="E223" s="122"/>
    </row>
    <row r="224" spans="3:5" s="35" customFormat="1" ht="35.1" customHeight="1">
      <c r="C224" s="122"/>
      <c r="D224" s="122"/>
      <c r="E224" s="122"/>
    </row>
    <row r="225" spans="3:5" s="35" customFormat="1" ht="35.1" customHeight="1">
      <c r="C225" s="122"/>
      <c r="D225" s="122"/>
      <c r="E225" s="122"/>
    </row>
    <row r="226" spans="3:5" s="35" customFormat="1" ht="35.1" customHeight="1">
      <c r="C226" s="122"/>
      <c r="D226" s="122"/>
      <c r="E226" s="122"/>
    </row>
    <row r="227" spans="3:5" s="35" customFormat="1" ht="35.1" customHeight="1">
      <c r="C227" s="122"/>
      <c r="D227" s="122"/>
      <c r="E227" s="122"/>
    </row>
    <row r="228" spans="3:5" s="35" customFormat="1" ht="35.1" customHeight="1">
      <c r="C228" s="122"/>
      <c r="D228" s="122"/>
      <c r="E228" s="122"/>
    </row>
    <row r="229" spans="3:5" s="35" customFormat="1" ht="35.1" customHeight="1">
      <c r="C229" s="122"/>
      <c r="D229" s="122"/>
      <c r="E229" s="122"/>
    </row>
    <row r="230" spans="3:5" s="35" customFormat="1" ht="35.1" customHeight="1">
      <c r="C230" s="122"/>
      <c r="D230" s="122"/>
      <c r="E230" s="122"/>
    </row>
    <row r="231" spans="3:5" s="35" customFormat="1" ht="35.1" customHeight="1">
      <c r="C231" s="122"/>
      <c r="D231" s="122"/>
      <c r="E231" s="122"/>
    </row>
    <row r="232" spans="3:5" s="35" customFormat="1" ht="35.1" customHeight="1">
      <c r="C232" s="122"/>
      <c r="D232" s="122"/>
      <c r="E232" s="122"/>
    </row>
    <row r="233" spans="3:5" s="35" customFormat="1" ht="35.1" customHeight="1">
      <c r="C233" s="122"/>
      <c r="D233" s="122"/>
      <c r="E233" s="122"/>
    </row>
    <row r="234" spans="3:5" s="35" customFormat="1" ht="35.1" customHeight="1">
      <c r="C234" s="122"/>
      <c r="D234" s="122"/>
      <c r="E234" s="122"/>
    </row>
    <row r="235" spans="3:5" s="35" customFormat="1" ht="35.1" customHeight="1">
      <c r="C235" s="122"/>
      <c r="D235" s="122"/>
      <c r="E235" s="122"/>
    </row>
    <row r="236" spans="3:5" s="35" customFormat="1" ht="35.1" customHeight="1">
      <c r="C236" s="122"/>
      <c r="D236" s="122"/>
      <c r="E236" s="122"/>
    </row>
    <row r="237" spans="3:5" s="35" customFormat="1" ht="35.1" customHeight="1">
      <c r="C237" s="122"/>
      <c r="D237" s="122"/>
      <c r="E237" s="122"/>
    </row>
    <row r="238" spans="3:5" s="35" customFormat="1" ht="35.1" customHeight="1">
      <c r="C238" s="122"/>
      <c r="D238" s="122"/>
      <c r="E238" s="122"/>
    </row>
    <row r="239" spans="3:5" s="35" customFormat="1" ht="35.1" customHeight="1">
      <c r="C239" s="122"/>
      <c r="D239" s="122"/>
      <c r="E239" s="122"/>
    </row>
    <row r="240" spans="3:5" s="35" customFormat="1" ht="35.1" customHeight="1">
      <c r="C240" s="122"/>
      <c r="D240" s="122"/>
      <c r="E240" s="122"/>
    </row>
    <row r="241" spans="3:5" s="35" customFormat="1" ht="35.1" customHeight="1">
      <c r="C241" s="122"/>
      <c r="D241" s="122"/>
      <c r="E241" s="122"/>
    </row>
    <row r="242" spans="3:5" s="35" customFormat="1" ht="35.1" customHeight="1">
      <c r="C242" s="122"/>
      <c r="D242" s="122"/>
      <c r="E242" s="122"/>
    </row>
    <row r="243" spans="3:5" s="35" customFormat="1" ht="35.1" customHeight="1">
      <c r="C243" s="122"/>
      <c r="D243" s="122"/>
      <c r="E243" s="122"/>
    </row>
    <row r="244" spans="3:5" s="35" customFormat="1" ht="35.1" customHeight="1">
      <c r="C244" s="122"/>
      <c r="D244" s="122"/>
      <c r="E244" s="122"/>
    </row>
    <row r="245" spans="3:5" s="35" customFormat="1" ht="35.1" customHeight="1">
      <c r="C245" s="122"/>
      <c r="D245" s="122"/>
      <c r="E245" s="122"/>
    </row>
    <row r="246" spans="3:5" s="35" customFormat="1" ht="35.1" customHeight="1">
      <c r="C246" s="122"/>
      <c r="D246" s="122"/>
      <c r="E246" s="122"/>
    </row>
    <row r="247" spans="3:5" s="35" customFormat="1" ht="35.1" customHeight="1">
      <c r="C247" s="122"/>
      <c r="D247" s="122"/>
      <c r="E247" s="122"/>
    </row>
    <row r="248" spans="3:5" s="35" customFormat="1" ht="35.1" customHeight="1">
      <c r="C248" s="122"/>
      <c r="D248" s="122"/>
      <c r="E248" s="122"/>
    </row>
    <row r="249" spans="3:5" s="35" customFormat="1" ht="35.1" customHeight="1">
      <c r="C249" s="122"/>
      <c r="D249" s="122"/>
      <c r="E249" s="122"/>
    </row>
    <row r="250" spans="3:5" s="35" customFormat="1" ht="35.1" customHeight="1">
      <c r="C250" s="122"/>
      <c r="D250" s="122"/>
      <c r="E250" s="122"/>
    </row>
    <row r="251" spans="3:5" s="35" customFormat="1" ht="35.1" customHeight="1">
      <c r="C251" s="122"/>
      <c r="D251" s="122"/>
      <c r="E251" s="122"/>
    </row>
    <row r="252" spans="3:5" s="35" customFormat="1" ht="35.1" customHeight="1">
      <c r="C252" s="122"/>
      <c r="D252" s="122"/>
      <c r="E252" s="122"/>
    </row>
    <row r="253" spans="3:5" s="35" customFormat="1" ht="35.1" customHeight="1">
      <c r="C253" s="122"/>
      <c r="D253" s="122"/>
      <c r="E253" s="122"/>
    </row>
    <row r="254" spans="3:5" s="35" customFormat="1" ht="35.1" customHeight="1">
      <c r="C254" s="122"/>
      <c r="D254" s="122"/>
      <c r="E254" s="122"/>
    </row>
    <row r="255" spans="3:5" s="35" customFormat="1" ht="35.1" customHeight="1">
      <c r="C255" s="122"/>
      <c r="D255" s="122"/>
      <c r="E255" s="122"/>
    </row>
    <row r="256" spans="3:5" s="35" customFormat="1" ht="35.1" customHeight="1">
      <c r="C256" s="122"/>
      <c r="D256" s="122"/>
      <c r="E256" s="122"/>
    </row>
    <row r="257" spans="3:5" s="35" customFormat="1" ht="35.1" customHeight="1">
      <c r="C257" s="122"/>
      <c r="D257" s="122"/>
      <c r="E257" s="122"/>
    </row>
    <row r="258" spans="3:5" s="35" customFormat="1" ht="35.1" customHeight="1">
      <c r="C258" s="122"/>
      <c r="D258" s="122"/>
      <c r="E258" s="122"/>
    </row>
    <row r="259" spans="3:5" s="35" customFormat="1" ht="35.1" customHeight="1">
      <c r="C259" s="122"/>
      <c r="D259" s="122"/>
      <c r="E259" s="122"/>
    </row>
    <row r="260" spans="3:5" s="35" customFormat="1" ht="35.1" customHeight="1">
      <c r="C260" s="122"/>
      <c r="D260" s="122"/>
      <c r="E260" s="122"/>
    </row>
    <row r="261" spans="3:5" s="35" customFormat="1" ht="35.1" customHeight="1">
      <c r="C261" s="122"/>
      <c r="D261" s="122"/>
      <c r="E261" s="122"/>
    </row>
    <row r="262" spans="3:5" s="35" customFormat="1" ht="35.1" customHeight="1">
      <c r="C262" s="122"/>
      <c r="D262" s="122"/>
      <c r="E262" s="122"/>
    </row>
    <row r="263" spans="3:5" s="35" customFormat="1" ht="35.1" customHeight="1">
      <c r="C263" s="122"/>
      <c r="D263" s="122"/>
      <c r="E263" s="122"/>
    </row>
    <row r="264" spans="3:5" s="35" customFormat="1" ht="35.1" customHeight="1">
      <c r="C264" s="122"/>
      <c r="D264" s="122"/>
      <c r="E264" s="122"/>
    </row>
    <row r="265" spans="3:5" s="35" customFormat="1" ht="35.1" customHeight="1">
      <c r="C265" s="122"/>
      <c r="D265" s="122"/>
      <c r="E265" s="122"/>
    </row>
    <row r="266" spans="3:5" s="35" customFormat="1" ht="35.1" customHeight="1">
      <c r="C266" s="122"/>
      <c r="D266" s="122"/>
      <c r="E266" s="122"/>
    </row>
    <row r="267" spans="3:5" s="35" customFormat="1" ht="35.1" customHeight="1">
      <c r="C267" s="122"/>
      <c r="D267" s="122"/>
      <c r="E267" s="122"/>
    </row>
    <row r="268" spans="3:5" s="35" customFormat="1" ht="35.1" customHeight="1">
      <c r="C268" s="122"/>
      <c r="D268" s="122"/>
      <c r="E268" s="122"/>
    </row>
    <row r="269" spans="3:5" s="35" customFormat="1" ht="35.1" customHeight="1">
      <c r="C269" s="122"/>
      <c r="D269" s="122"/>
      <c r="E269" s="122"/>
    </row>
    <row r="270" spans="3:5" s="35" customFormat="1" ht="35.1" customHeight="1">
      <c r="C270" s="122"/>
      <c r="D270" s="122"/>
      <c r="E270" s="122"/>
    </row>
    <row r="271" spans="3:5" s="35" customFormat="1" ht="35.1" customHeight="1">
      <c r="C271" s="122"/>
      <c r="D271" s="122"/>
      <c r="E271" s="122"/>
    </row>
    <row r="272" spans="3:5" s="35" customFormat="1" ht="35.1" customHeight="1">
      <c r="C272" s="122"/>
      <c r="D272" s="122"/>
      <c r="E272" s="122"/>
    </row>
    <row r="273" spans="3:5" s="35" customFormat="1" ht="35.1" customHeight="1">
      <c r="C273" s="122"/>
      <c r="D273" s="122"/>
      <c r="E273" s="122"/>
    </row>
    <row r="274" spans="3:5" s="35" customFormat="1" ht="35.1" customHeight="1">
      <c r="C274" s="122"/>
      <c r="D274" s="122"/>
      <c r="E274" s="122"/>
    </row>
    <row r="275" spans="3:5" s="35" customFormat="1" ht="35.1" customHeight="1">
      <c r="C275" s="122"/>
      <c r="D275" s="122"/>
      <c r="E275" s="122"/>
    </row>
    <row r="276" spans="3:5" s="35" customFormat="1" ht="35.1" customHeight="1">
      <c r="C276" s="122"/>
      <c r="D276" s="122"/>
      <c r="E276" s="122"/>
    </row>
    <row r="277" spans="3:5" s="35" customFormat="1" ht="35.1" customHeight="1">
      <c r="C277" s="122"/>
      <c r="D277" s="122"/>
      <c r="E277" s="122"/>
    </row>
    <row r="278" spans="3:5" s="35" customFormat="1" ht="35.1" customHeight="1">
      <c r="C278" s="122"/>
      <c r="D278" s="122"/>
      <c r="E278" s="122"/>
    </row>
    <row r="279" spans="3:5" s="35" customFormat="1" ht="35.1" customHeight="1">
      <c r="C279" s="122"/>
      <c r="D279" s="122"/>
      <c r="E279" s="122"/>
    </row>
    <row r="280" spans="3:5" s="35" customFormat="1" ht="35.1" customHeight="1">
      <c r="C280" s="122"/>
      <c r="D280" s="122"/>
      <c r="E280" s="122"/>
    </row>
    <row r="281" spans="3:5" s="35" customFormat="1" ht="35.1" customHeight="1">
      <c r="C281" s="122"/>
      <c r="D281" s="122"/>
      <c r="E281" s="122"/>
    </row>
    <row r="282" spans="3:5" s="35" customFormat="1" ht="35.1" customHeight="1">
      <c r="C282" s="122"/>
      <c r="D282" s="122"/>
      <c r="E282" s="122"/>
    </row>
    <row r="283" spans="3:5" s="35" customFormat="1" ht="35.1" customHeight="1">
      <c r="C283" s="122"/>
      <c r="D283" s="122"/>
      <c r="E283" s="122"/>
    </row>
    <row r="284" spans="3:5" s="35" customFormat="1" ht="35.1" customHeight="1">
      <c r="C284" s="122"/>
      <c r="D284" s="122"/>
      <c r="E284" s="122"/>
    </row>
    <row r="285" spans="3:5" s="35" customFormat="1" ht="35.1" customHeight="1">
      <c r="C285" s="122"/>
      <c r="D285" s="122"/>
      <c r="E285" s="122"/>
    </row>
    <row r="286" spans="3:5" s="35" customFormat="1" ht="35.1" customHeight="1">
      <c r="C286" s="122"/>
      <c r="D286" s="122"/>
      <c r="E286" s="122"/>
    </row>
    <row r="287" spans="3:5" s="35" customFormat="1" ht="35.1" customHeight="1">
      <c r="C287" s="122"/>
      <c r="D287" s="122"/>
      <c r="E287" s="122"/>
    </row>
    <row r="288" spans="3:5" s="35" customFormat="1" ht="35.1" customHeight="1">
      <c r="C288" s="122"/>
      <c r="D288" s="122"/>
      <c r="E288" s="122"/>
    </row>
    <row r="289" spans="3:5" s="35" customFormat="1" ht="35.1" customHeight="1">
      <c r="C289" s="122"/>
      <c r="D289" s="122"/>
      <c r="E289" s="122"/>
    </row>
    <row r="290" spans="3:5" s="35" customFormat="1" ht="35.1" customHeight="1">
      <c r="C290" s="122"/>
      <c r="D290" s="122"/>
      <c r="E290" s="122"/>
    </row>
    <row r="291" spans="3:5" s="35" customFormat="1" ht="35.1" customHeight="1">
      <c r="C291" s="122"/>
      <c r="D291" s="122"/>
      <c r="E291" s="122"/>
    </row>
    <row r="292" spans="3:5" s="35" customFormat="1" ht="35.1" customHeight="1">
      <c r="C292" s="122"/>
      <c r="D292" s="122"/>
      <c r="E292" s="122"/>
    </row>
    <row r="293" spans="3:5" s="35" customFormat="1" ht="35.1" customHeight="1">
      <c r="C293" s="122"/>
      <c r="D293" s="122"/>
      <c r="E293" s="122"/>
    </row>
    <row r="294" spans="3:5" s="35" customFormat="1" ht="35.1" customHeight="1">
      <c r="C294" s="122"/>
      <c r="D294" s="122"/>
      <c r="E294" s="122"/>
    </row>
    <row r="295" spans="3:5" s="35" customFormat="1" ht="35.1" customHeight="1">
      <c r="C295" s="122"/>
      <c r="D295" s="122"/>
      <c r="E295" s="122"/>
    </row>
    <row r="296" spans="3:5" s="35" customFormat="1" ht="35.1" customHeight="1">
      <c r="C296" s="122"/>
      <c r="D296" s="122"/>
      <c r="E296" s="122"/>
    </row>
    <row r="297" spans="3:5" s="35" customFormat="1" ht="35.1" customHeight="1">
      <c r="C297" s="122"/>
      <c r="D297" s="122"/>
      <c r="E297" s="122"/>
    </row>
    <row r="298" spans="3:5" s="35" customFormat="1" ht="35.1" customHeight="1">
      <c r="C298" s="122"/>
      <c r="D298" s="122"/>
      <c r="E298" s="122"/>
    </row>
    <row r="299" spans="3:5" s="35" customFormat="1" ht="35.1" customHeight="1">
      <c r="C299" s="122"/>
      <c r="D299" s="122"/>
      <c r="E299" s="122"/>
    </row>
    <row r="300" spans="3:5" s="35" customFormat="1" ht="35.1" customHeight="1">
      <c r="C300" s="122"/>
      <c r="D300" s="122"/>
      <c r="E300" s="122"/>
    </row>
    <row r="301" spans="3:5" s="35" customFormat="1" ht="35.1" customHeight="1">
      <c r="C301" s="122"/>
      <c r="D301" s="122"/>
      <c r="E301" s="122"/>
    </row>
    <row r="302" spans="3:5" s="35" customFormat="1" ht="35.1" customHeight="1">
      <c r="C302" s="122"/>
      <c r="D302" s="122"/>
      <c r="E302" s="122"/>
    </row>
    <row r="303" spans="3:5" s="35" customFormat="1" ht="35.1" customHeight="1">
      <c r="C303" s="122"/>
      <c r="D303" s="122"/>
      <c r="E303" s="122"/>
    </row>
    <row r="304" spans="3:5" s="35" customFormat="1" ht="35.1" customHeight="1">
      <c r="C304" s="122"/>
      <c r="D304" s="122"/>
      <c r="E304" s="122"/>
    </row>
    <row r="305" spans="3:5" s="35" customFormat="1" ht="35.1" customHeight="1">
      <c r="C305" s="122"/>
      <c r="D305" s="122"/>
      <c r="E305" s="122"/>
    </row>
    <row r="306" spans="3:5" s="35" customFormat="1" ht="35.1" customHeight="1">
      <c r="C306" s="122"/>
      <c r="D306" s="122"/>
      <c r="E306" s="122"/>
    </row>
    <row r="307" spans="3:5" s="35" customFormat="1" ht="35.1" customHeight="1">
      <c r="C307" s="122"/>
      <c r="D307" s="122"/>
      <c r="E307" s="122"/>
    </row>
    <row r="308" spans="3:5" s="35" customFormat="1" ht="35.1" customHeight="1">
      <c r="C308" s="122"/>
      <c r="D308" s="122"/>
      <c r="E308" s="122"/>
    </row>
    <row r="309" spans="3:5" s="35" customFormat="1" ht="35.1" customHeight="1">
      <c r="C309" s="122"/>
      <c r="D309" s="122"/>
      <c r="E309" s="122"/>
    </row>
    <row r="310" spans="3:5" s="35" customFormat="1" ht="35.1" customHeight="1">
      <c r="C310" s="122"/>
      <c r="D310" s="122"/>
      <c r="E310" s="122"/>
    </row>
    <row r="311" spans="3:5" s="35" customFormat="1" ht="35.1" customHeight="1">
      <c r="C311" s="122"/>
      <c r="D311" s="122"/>
      <c r="E311" s="122"/>
    </row>
    <row r="312" spans="3:5" s="35" customFormat="1" ht="35.1" customHeight="1">
      <c r="C312" s="122"/>
      <c r="D312" s="122"/>
      <c r="E312" s="122"/>
    </row>
    <row r="313" spans="3:5" s="35" customFormat="1" ht="35.1" customHeight="1">
      <c r="C313" s="122"/>
      <c r="D313" s="122"/>
      <c r="E313" s="122"/>
    </row>
    <row r="314" spans="3:5" s="35" customFormat="1" ht="35.1" customHeight="1">
      <c r="C314" s="122"/>
      <c r="D314" s="122"/>
      <c r="E314" s="122"/>
    </row>
    <row r="315" spans="3:5" s="35" customFormat="1" ht="35.1" customHeight="1">
      <c r="C315" s="122"/>
      <c r="D315" s="122"/>
      <c r="E315" s="122"/>
    </row>
    <row r="316" spans="3:5" s="35" customFormat="1" ht="35.1" customHeight="1">
      <c r="C316" s="122"/>
      <c r="D316" s="122"/>
      <c r="E316" s="122"/>
    </row>
    <row r="317" spans="3:5" s="35" customFormat="1" ht="35.1" customHeight="1">
      <c r="C317" s="122"/>
      <c r="D317" s="122"/>
      <c r="E317" s="122"/>
    </row>
    <row r="318" spans="3:5" s="35" customFormat="1" ht="35.1" customHeight="1">
      <c r="C318" s="122"/>
      <c r="D318" s="122"/>
      <c r="E318" s="122"/>
    </row>
    <row r="319" spans="3:5" s="35" customFormat="1" ht="35.1" customHeight="1">
      <c r="C319" s="122"/>
      <c r="D319" s="122"/>
      <c r="E319" s="122"/>
    </row>
    <row r="320" spans="3:5" s="35" customFormat="1" ht="35.1" customHeight="1">
      <c r="C320" s="122"/>
      <c r="D320" s="122"/>
      <c r="E320" s="122"/>
    </row>
    <row r="321" spans="3:5" s="35" customFormat="1" ht="35.1" customHeight="1">
      <c r="C321" s="122"/>
      <c r="D321" s="122"/>
      <c r="E321" s="122"/>
    </row>
    <row r="322" spans="3:5" s="35" customFormat="1" ht="35.1" customHeight="1">
      <c r="C322" s="122"/>
      <c r="D322" s="122"/>
      <c r="E322" s="122"/>
    </row>
    <row r="323" spans="3:5" s="35" customFormat="1" ht="35.1" customHeight="1">
      <c r="C323" s="122"/>
      <c r="D323" s="122"/>
      <c r="E323" s="122"/>
    </row>
    <row r="324" spans="3:5" s="35" customFormat="1" ht="35.1" customHeight="1">
      <c r="C324" s="122"/>
      <c r="D324" s="122"/>
      <c r="E324" s="122"/>
    </row>
    <row r="325" spans="3:5" s="35" customFormat="1" ht="35.1" customHeight="1">
      <c r="C325" s="122"/>
      <c r="D325" s="122"/>
      <c r="E325" s="122"/>
    </row>
    <row r="326" spans="3:5" s="35" customFormat="1" ht="35.1" customHeight="1">
      <c r="C326" s="122"/>
      <c r="D326" s="122"/>
      <c r="E326" s="122"/>
    </row>
    <row r="327" spans="3:5" s="35" customFormat="1" ht="35.1" customHeight="1">
      <c r="C327" s="122"/>
      <c r="D327" s="122"/>
      <c r="E327" s="122"/>
    </row>
    <row r="328" spans="3:5" s="35" customFormat="1" ht="35.1" customHeight="1">
      <c r="C328" s="122"/>
      <c r="D328" s="122"/>
      <c r="E328" s="122"/>
    </row>
    <row r="329" spans="3:5" s="35" customFormat="1" ht="35.1" customHeight="1">
      <c r="C329" s="122"/>
      <c r="D329" s="122"/>
      <c r="E329" s="122"/>
    </row>
    <row r="330" spans="3:5" s="35" customFormat="1" ht="35.1" customHeight="1">
      <c r="C330" s="122"/>
      <c r="D330" s="122"/>
      <c r="E330" s="122"/>
    </row>
    <row r="331" spans="3:5" s="35" customFormat="1" ht="35.1" customHeight="1">
      <c r="C331" s="122"/>
      <c r="D331" s="122"/>
      <c r="E331" s="122"/>
    </row>
    <row r="332" spans="3:5" s="35" customFormat="1" ht="35.1" customHeight="1">
      <c r="C332" s="122"/>
      <c r="D332" s="122"/>
      <c r="E332" s="122"/>
    </row>
    <row r="333" spans="3:5" s="35" customFormat="1" ht="35.1" customHeight="1">
      <c r="C333" s="122"/>
      <c r="D333" s="122"/>
      <c r="E333" s="122"/>
    </row>
    <row r="334" spans="3:5" s="35" customFormat="1" ht="35.1" customHeight="1">
      <c r="C334" s="122"/>
      <c r="D334" s="122"/>
      <c r="E334" s="122"/>
    </row>
    <row r="335" spans="3:5" s="35" customFormat="1" ht="35.1" customHeight="1">
      <c r="C335" s="122"/>
      <c r="D335" s="122"/>
      <c r="E335" s="122"/>
    </row>
    <row r="336" spans="3:5" s="35" customFormat="1" ht="35.1" customHeight="1">
      <c r="C336" s="122"/>
      <c r="D336" s="122"/>
      <c r="E336" s="122"/>
    </row>
    <row r="337" spans="3:5" s="35" customFormat="1" ht="35.1" customHeight="1">
      <c r="C337" s="122"/>
      <c r="D337" s="122"/>
      <c r="E337" s="122"/>
    </row>
    <row r="338" spans="3:5" s="35" customFormat="1" ht="35.1" customHeight="1">
      <c r="C338" s="122"/>
      <c r="D338" s="122"/>
      <c r="E338" s="122"/>
    </row>
    <row r="339" spans="3:5" s="35" customFormat="1" ht="35.1" customHeight="1">
      <c r="C339" s="122"/>
      <c r="D339" s="122"/>
      <c r="E339" s="122"/>
    </row>
    <row r="340" spans="3:5" s="35" customFormat="1" ht="35.1" customHeight="1">
      <c r="C340" s="122"/>
      <c r="D340" s="122"/>
      <c r="E340" s="122"/>
    </row>
    <row r="341" spans="3:5" s="35" customFormat="1" ht="35.1" customHeight="1">
      <c r="C341" s="122"/>
      <c r="D341" s="122"/>
      <c r="E341" s="122"/>
    </row>
    <row r="342" spans="3:5" s="35" customFormat="1" ht="35.1" customHeight="1">
      <c r="C342" s="122"/>
      <c r="D342" s="122"/>
      <c r="E342" s="122"/>
    </row>
    <row r="343" spans="3:5" s="35" customFormat="1" ht="35.1" customHeight="1">
      <c r="C343" s="122"/>
      <c r="D343" s="122"/>
      <c r="E343" s="122"/>
    </row>
    <row r="344" spans="3:5" s="35" customFormat="1" ht="35.1" customHeight="1">
      <c r="C344" s="122"/>
      <c r="D344" s="122"/>
      <c r="E344" s="122"/>
    </row>
    <row r="345" spans="3:5" s="35" customFormat="1" ht="35.1" customHeight="1">
      <c r="C345" s="122"/>
      <c r="D345" s="122"/>
      <c r="E345" s="122"/>
    </row>
    <row r="346" spans="3:5" s="35" customFormat="1" ht="35.1" customHeight="1">
      <c r="C346" s="122"/>
      <c r="D346" s="122"/>
      <c r="E346" s="122"/>
    </row>
    <row r="347" spans="3:5" s="35" customFormat="1" ht="35.1" customHeight="1">
      <c r="C347" s="122"/>
      <c r="D347" s="122"/>
      <c r="E347" s="122"/>
    </row>
    <row r="348" spans="3:5" s="35" customFormat="1" ht="35.1" customHeight="1">
      <c r="C348" s="122"/>
      <c r="D348" s="122"/>
      <c r="E348" s="122"/>
    </row>
    <row r="349" spans="3:5" s="35" customFormat="1" ht="35.1" customHeight="1">
      <c r="C349" s="122"/>
      <c r="D349" s="122"/>
      <c r="E349" s="122"/>
    </row>
    <row r="350" spans="3:5" s="35" customFormat="1" ht="35.1" customHeight="1">
      <c r="C350" s="122"/>
      <c r="D350" s="122"/>
      <c r="E350" s="122"/>
    </row>
    <row r="351" spans="3:5" s="35" customFormat="1" ht="35.1" customHeight="1">
      <c r="C351" s="122"/>
      <c r="D351" s="122"/>
      <c r="E351" s="122"/>
    </row>
    <row r="352" spans="3:5" s="35" customFormat="1" ht="35.1" customHeight="1">
      <c r="C352" s="122"/>
      <c r="D352" s="122"/>
      <c r="E352" s="122"/>
    </row>
    <row r="353" spans="3:5" s="35" customFormat="1" ht="35.1" customHeight="1">
      <c r="C353" s="122"/>
      <c r="D353" s="122"/>
      <c r="E353" s="122"/>
    </row>
    <row r="354" spans="3:5" s="35" customFormat="1" ht="35.1" customHeight="1">
      <c r="C354" s="122"/>
      <c r="D354" s="122"/>
      <c r="E354" s="122"/>
    </row>
    <row r="355" spans="3:5" s="35" customFormat="1" ht="35.1" customHeight="1">
      <c r="C355" s="122"/>
      <c r="D355" s="122"/>
      <c r="E355" s="122"/>
    </row>
    <row r="356" spans="3:5" s="35" customFormat="1" ht="35.1" customHeight="1">
      <c r="C356" s="122"/>
      <c r="D356" s="122"/>
      <c r="E356" s="122"/>
    </row>
    <row r="357" spans="3:5" s="35" customFormat="1" ht="35.1" customHeight="1">
      <c r="C357" s="122"/>
      <c r="D357" s="122"/>
      <c r="E357" s="122"/>
    </row>
    <row r="358" spans="3:5" s="35" customFormat="1" ht="35.1" customHeight="1">
      <c r="C358" s="122"/>
      <c r="D358" s="122"/>
      <c r="E358" s="122"/>
    </row>
    <row r="359" spans="3:5" s="35" customFormat="1" ht="35.1" customHeight="1">
      <c r="C359" s="122"/>
      <c r="D359" s="122"/>
      <c r="E359" s="122"/>
    </row>
    <row r="360" spans="3:5" s="35" customFormat="1" ht="35.1" customHeight="1">
      <c r="C360" s="122"/>
      <c r="D360" s="122"/>
      <c r="E360" s="122"/>
    </row>
    <row r="361" spans="3:5" s="35" customFormat="1" ht="35.1" customHeight="1">
      <c r="C361" s="122"/>
      <c r="D361" s="122"/>
      <c r="E361" s="122"/>
    </row>
    <row r="362" spans="3:5" s="35" customFormat="1" ht="35.1" customHeight="1">
      <c r="C362" s="122"/>
      <c r="D362" s="122"/>
      <c r="E362" s="122"/>
    </row>
    <row r="363" spans="3:5" s="35" customFormat="1" ht="35.1" customHeight="1">
      <c r="C363" s="122"/>
      <c r="D363" s="122"/>
      <c r="E363" s="122"/>
    </row>
    <row r="364" spans="3:5" s="35" customFormat="1" ht="35.1" customHeight="1">
      <c r="C364" s="122"/>
      <c r="D364" s="122"/>
      <c r="E364" s="122"/>
    </row>
    <row r="365" spans="3:5" s="35" customFormat="1" ht="35.1" customHeight="1">
      <c r="C365" s="122"/>
      <c r="D365" s="122"/>
      <c r="E365" s="122"/>
    </row>
    <row r="366" spans="3:5" s="35" customFormat="1" ht="35.1" customHeight="1">
      <c r="C366" s="122"/>
      <c r="D366" s="122"/>
      <c r="E366" s="122"/>
    </row>
    <row r="367" spans="3:5" s="35" customFormat="1" ht="35.1" customHeight="1">
      <c r="C367" s="122"/>
      <c r="D367" s="122"/>
      <c r="E367" s="122"/>
    </row>
    <row r="368" spans="3:5" s="35" customFormat="1" ht="35.1" customHeight="1">
      <c r="C368" s="122"/>
      <c r="D368" s="122"/>
      <c r="E368" s="122"/>
    </row>
    <row r="369" spans="3:5" s="35" customFormat="1" ht="35.1" customHeight="1">
      <c r="C369" s="122"/>
      <c r="D369" s="122"/>
      <c r="E369" s="122"/>
    </row>
    <row r="370" spans="3:5" s="35" customFormat="1" ht="35.1" customHeight="1">
      <c r="C370" s="122"/>
      <c r="D370" s="122"/>
      <c r="E370" s="122"/>
    </row>
    <row r="371" spans="3:5" s="35" customFormat="1" ht="35.1" customHeight="1">
      <c r="C371" s="122"/>
      <c r="D371" s="122"/>
      <c r="E371" s="122"/>
    </row>
    <row r="372" spans="3:5" s="35" customFormat="1" ht="35.1" customHeight="1">
      <c r="C372" s="122"/>
      <c r="D372" s="122"/>
      <c r="E372" s="122"/>
    </row>
    <row r="373" spans="3:5" s="35" customFormat="1" ht="35.1" customHeight="1">
      <c r="C373" s="122"/>
      <c r="D373" s="122"/>
      <c r="E373" s="122"/>
    </row>
    <row r="374" spans="3:5" s="35" customFormat="1" ht="35.1" customHeight="1">
      <c r="C374" s="122"/>
      <c r="D374" s="122"/>
      <c r="E374" s="122"/>
    </row>
    <row r="375" spans="3:5" s="35" customFormat="1" ht="35.1" customHeight="1">
      <c r="C375" s="122"/>
      <c r="D375" s="122"/>
      <c r="E375" s="122"/>
    </row>
    <row r="376" spans="3:5" s="35" customFormat="1" ht="35.1" customHeight="1">
      <c r="C376" s="122"/>
      <c r="D376" s="122"/>
      <c r="E376" s="122"/>
    </row>
    <row r="377" spans="3:5" s="35" customFormat="1" ht="35.1" customHeight="1">
      <c r="C377" s="122"/>
      <c r="D377" s="122"/>
      <c r="E377" s="122"/>
    </row>
    <row r="378" spans="3:5" s="35" customFormat="1" ht="35.1" customHeight="1">
      <c r="C378" s="122"/>
      <c r="D378" s="122"/>
      <c r="E378" s="122"/>
    </row>
    <row r="379" spans="3:5" s="35" customFormat="1" ht="35.1" customHeight="1">
      <c r="C379" s="122"/>
      <c r="D379" s="122"/>
      <c r="E379" s="122"/>
    </row>
    <row r="380" spans="3:5" s="35" customFormat="1" ht="35.1" customHeight="1">
      <c r="C380" s="122"/>
      <c r="D380" s="122"/>
      <c r="E380" s="122"/>
    </row>
    <row r="381" spans="3:5" s="35" customFormat="1" ht="35.1" customHeight="1">
      <c r="C381" s="122"/>
      <c r="D381" s="122"/>
      <c r="E381" s="122"/>
    </row>
    <row r="382" spans="3:5" s="35" customFormat="1" ht="35.1" customHeight="1">
      <c r="C382" s="122"/>
      <c r="D382" s="122"/>
      <c r="E382" s="122"/>
    </row>
    <row r="383" spans="3:5" s="35" customFormat="1" ht="35.1" customHeight="1">
      <c r="C383" s="122"/>
      <c r="D383" s="122"/>
      <c r="E383" s="122"/>
    </row>
    <row r="384" spans="3:5" s="35" customFormat="1" ht="35.1" customHeight="1">
      <c r="C384" s="122"/>
      <c r="D384" s="122"/>
      <c r="E384" s="122"/>
    </row>
    <row r="385" spans="3:5" s="35" customFormat="1" ht="35.1" customHeight="1">
      <c r="C385" s="122"/>
      <c r="D385" s="122"/>
      <c r="E385" s="122"/>
    </row>
    <row r="386" spans="3:5" s="35" customFormat="1" ht="35.1" customHeight="1">
      <c r="C386" s="122"/>
      <c r="D386" s="122"/>
      <c r="E386" s="122"/>
    </row>
    <row r="387" spans="3:5" s="35" customFormat="1" ht="35.1" customHeight="1">
      <c r="C387" s="122"/>
      <c r="D387" s="122"/>
      <c r="E387" s="122"/>
    </row>
    <row r="388" spans="3:5" s="35" customFormat="1" ht="35.1" customHeight="1">
      <c r="C388" s="122"/>
      <c r="D388" s="122"/>
      <c r="E388" s="122"/>
    </row>
    <row r="389" spans="3:5" s="35" customFormat="1" ht="35.1" customHeight="1">
      <c r="C389" s="122"/>
      <c r="D389" s="122"/>
      <c r="E389" s="122"/>
    </row>
    <row r="390" spans="3:5" s="35" customFormat="1" ht="35.1" customHeight="1">
      <c r="C390" s="122"/>
      <c r="D390" s="122"/>
      <c r="E390" s="122"/>
    </row>
    <row r="391" spans="3:5" s="35" customFormat="1" ht="35.1" customHeight="1">
      <c r="C391" s="122"/>
      <c r="D391" s="122"/>
      <c r="E391" s="122"/>
    </row>
    <row r="392" spans="3:5" s="35" customFormat="1" ht="35.1" customHeight="1">
      <c r="C392" s="122"/>
      <c r="D392" s="122"/>
      <c r="E392" s="122"/>
    </row>
    <row r="393" spans="3:5" s="35" customFormat="1" ht="35.1" customHeight="1">
      <c r="C393" s="122"/>
      <c r="D393" s="122"/>
      <c r="E393" s="122"/>
    </row>
    <row r="394" spans="3:5" s="35" customFormat="1" ht="35.1" customHeight="1">
      <c r="C394" s="122"/>
      <c r="D394" s="122"/>
      <c r="E394" s="122"/>
    </row>
    <row r="395" spans="3:5" s="35" customFormat="1" ht="35.1" customHeight="1">
      <c r="C395" s="122"/>
      <c r="D395" s="122"/>
      <c r="E395" s="122"/>
    </row>
    <row r="396" spans="3:5" s="35" customFormat="1" ht="35.1" customHeight="1">
      <c r="C396" s="122"/>
      <c r="D396" s="122"/>
      <c r="E396" s="122"/>
    </row>
    <row r="397" spans="3:5" s="35" customFormat="1" ht="35.1" customHeight="1">
      <c r="C397" s="122"/>
      <c r="D397" s="122"/>
      <c r="E397" s="122"/>
    </row>
    <row r="398" spans="3:5" s="35" customFormat="1" ht="35.1" customHeight="1">
      <c r="C398" s="122"/>
      <c r="D398" s="122"/>
      <c r="E398" s="122"/>
    </row>
    <row r="399" spans="3:5" s="35" customFormat="1" ht="35.1" customHeight="1">
      <c r="C399" s="122"/>
      <c r="D399" s="122"/>
      <c r="E399" s="122"/>
    </row>
    <row r="400" spans="3:5" s="35" customFormat="1" ht="35.1" customHeight="1">
      <c r="C400" s="122"/>
      <c r="D400" s="122"/>
      <c r="E400" s="122"/>
    </row>
    <row r="401" spans="3:5" s="35" customFormat="1" ht="35.1" customHeight="1">
      <c r="C401" s="122"/>
      <c r="D401" s="122"/>
      <c r="E401" s="122"/>
    </row>
    <row r="402" spans="3:5" s="35" customFormat="1" ht="35.1" customHeight="1">
      <c r="C402" s="122"/>
      <c r="D402" s="122"/>
      <c r="E402" s="122"/>
    </row>
    <row r="403" spans="3:5" s="35" customFormat="1" ht="35.1" customHeight="1">
      <c r="C403" s="122"/>
      <c r="D403" s="122"/>
      <c r="E403" s="122"/>
    </row>
    <row r="404" spans="3:5" s="35" customFormat="1" ht="35.1" customHeight="1">
      <c r="C404" s="122"/>
      <c r="D404" s="122"/>
      <c r="E404" s="122"/>
    </row>
    <row r="405" spans="3:5" s="35" customFormat="1" ht="35.1" customHeight="1">
      <c r="C405" s="122"/>
      <c r="D405" s="122"/>
      <c r="E405" s="122"/>
    </row>
    <row r="406" spans="3:5" s="35" customFormat="1" ht="35.1" customHeight="1">
      <c r="C406" s="122"/>
      <c r="D406" s="122"/>
      <c r="E406" s="122"/>
    </row>
    <row r="407" spans="3:5" s="35" customFormat="1" ht="35.1" customHeight="1">
      <c r="C407" s="122"/>
      <c r="D407" s="122"/>
      <c r="E407" s="122"/>
    </row>
    <row r="408" spans="3:5" s="35" customFormat="1" ht="35.1" customHeight="1">
      <c r="C408" s="122"/>
      <c r="D408" s="122"/>
      <c r="E408" s="122"/>
    </row>
    <row r="409" spans="3:5" s="35" customFormat="1" ht="35.1" customHeight="1">
      <c r="C409" s="122"/>
      <c r="D409" s="122"/>
      <c r="E409" s="122"/>
    </row>
    <row r="410" spans="3:5" s="35" customFormat="1" ht="35.1" customHeight="1">
      <c r="C410" s="122"/>
      <c r="D410" s="122"/>
      <c r="E410" s="122"/>
    </row>
    <row r="411" spans="3:5" s="35" customFormat="1" ht="35.1" customHeight="1">
      <c r="C411" s="122"/>
      <c r="D411" s="122"/>
      <c r="E411" s="122"/>
    </row>
    <row r="412" spans="3:5" s="35" customFormat="1" ht="35.1" customHeight="1">
      <c r="C412" s="122"/>
      <c r="D412" s="122"/>
      <c r="E412" s="122"/>
    </row>
    <row r="413" spans="3:5" s="35" customFormat="1" ht="35.1" customHeight="1">
      <c r="C413" s="122"/>
      <c r="D413" s="122"/>
      <c r="E413" s="122"/>
    </row>
    <row r="414" spans="3:5" s="35" customFormat="1" ht="35.1" customHeight="1">
      <c r="C414" s="122"/>
      <c r="D414" s="122"/>
      <c r="E414" s="122"/>
    </row>
    <row r="415" spans="3:5" s="35" customFormat="1" ht="35.1" customHeight="1">
      <c r="C415" s="122"/>
      <c r="D415" s="122"/>
      <c r="E415" s="122"/>
    </row>
    <row r="416" spans="3:5" s="35" customFormat="1" ht="35.1" customHeight="1">
      <c r="C416" s="122"/>
      <c r="D416" s="122"/>
      <c r="E416" s="122"/>
    </row>
    <row r="417" spans="3:5" s="35" customFormat="1" ht="35.1" customHeight="1">
      <c r="C417" s="122"/>
      <c r="D417" s="122"/>
      <c r="E417" s="122"/>
    </row>
    <row r="418" spans="3:5" s="35" customFormat="1" ht="35.1" customHeight="1">
      <c r="C418" s="122"/>
      <c r="D418" s="122"/>
      <c r="E418" s="122"/>
    </row>
    <row r="419" spans="3:5" s="35" customFormat="1" ht="35.1" customHeight="1">
      <c r="C419" s="122"/>
      <c r="D419" s="122"/>
      <c r="E419" s="122"/>
    </row>
    <row r="420" spans="3:5" s="35" customFormat="1" ht="35.1" customHeight="1">
      <c r="C420" s="122"/>
      <c r="D420" s="122"/>
      <c r="E420" s="122"/>
    </row>
    <row r="421" spans="3:5" s="35" customFormat="1" ht="35.1" customHeight="1">
      <c r="C421" s="122"/>
      <c r="D421" s="122"/>
      <c r="E421" s="122"/>
    </row>
    <row r="422" spans="3:5" s="35" customFormat="1" ht="35.1" customHeight="1">
      <c r="C422" s="122"/>
      <c r="D422" s="122"/>
      <c r="E422" s="122"/>
    </row>
    <row r="423" spans="3:5" s="35" customFormat="1" ht="35.1" customHeight="1">
      <c r="C423" s="122"/>
      <c r="D423" s="122"/>
      <c r="E423" s="122"/>
    </row>
    <row r="424" spans="3:5" s="35" customFormat="1" ht="35.1" customHeight="1">
      <c r="C424" s="122"/>
      <c r="D424" s="122"/>
      <c r="E424" s="122"/>
    </row>
    <row r="425" spans="3:5" s="35" customFormat="1" ht="35.1" customHeight="1">
      <c r="C425" s="122"/>
      <c r="D425" s="122"/>
      <c r="E425" s="122"/>
    </row>
    <row r="426" spans="3:5" s="35" customFormat="1" ht="35.1" customHeight="1">
      <c r="C426" s="122"/>
      <c r="D426" s="122"/>
      <c r="E426" s="122"/>
    </row>
    <row r="427" spans="3:5" s="35" customFormat="1" ht="35.1" customHeight="1">
      <c r="C427" s="122"/>
      <c r="D427" s="122"/>
      <c r="E427" s="122"/>
    </row>
    <row r="428" spans="3:5" s="35" customFormat="1" ht="35.1" customHeight="1">
      <c r="C428" s="122"/>
      <c r="D428" s="122"/>
      <c r="E428" s="122"/>
    </row>
    <row r="429" spans="3:5" s="35" customFormat="1" ht="35.1" customHeight="1">
      <c r="C429" s="122"/>
      <c r="D429" s="122"/>
      <c r="E429" s="122"/>
    </row>
    <row r="430" spans="3:5" s="35" customFormat="1" ht="35.1" customHeight="1">
      <c r="C430" s="122"/>
      <c r="D430" s="122"/>
      <c r="E430" s="122"/>
    </row>
    <row r="431" spans="3:5" s="35" customFormat="1" ht="35.1" customHeight="1">
      <c r="C431" s="122"/>
      <c r="D431" s="122"/>
      <c r="E431" s="122"/>
    </row>
    <row r="432" spans="3:5" s="35" customFormat="1" ht="35.1" customHeight="1">
      <c r="C432" s="122"/>
      <c r="D432" s="122"/>
      <c r="E432" s="122"/>
    </row>
    <row r="433" spans="3:5" s="35" customFormat="1" ht="35.1" customHeight="1">
      <c r="C433" s="122"/>
      <c r="D433" s="122"/>
      <c r="E433" s="122"/>
    </row>
    <row r="434" spans="3:5" s="35" customFormat="1" ht="35.1" customHeight="1">
      <c r="C434" s="122"/>
      <c r="D434" s="122"/>
      <c r="E434" s="122"/>
    </row>
    <row r="435" spans="3:5" s="35" customFormat="1" ht="35.1" customHeight="1">
      <c r="C435" s="122"/>
      <c r="D435" s="122"/>
      <c r="E435" s="122"/>
    </row>
    <row r="436" spans="3:5" s="35" customFormat="1" ht="35.1" customHeight="1">
      <c r="C436" s="122"/>
      <c r="D436" s="122"/>
      <c r="E436" s="122"/>
    </row>
    <row r="437" spans="3:5" s="35" customFormat="1" ht="35.1" customHeight="1">
      <c r="C437" s="122"/>
      <c r="D437" s="122"/>
      <c r="E437" s="122"/>
    </row>
    <row r="438" spans="3:5" s="35" customFormat="1" ht="35.1" customHeight="1">
      <c r="C438" s="122"/>
      <c r="D438" s="122"/>
      <c r="E438" s="122"/>
    </row>
    <row r="439" spans="3:5" s="35" customFormat="1" ht="35.1" customHeight="1">
      <c r="C439" s="122"/>
      <c r="D439" s="122"/>
      <c r="E439" s="122"/>
    </row>
    <row r="440" spans="3:5" s="35" customFormat="1" ht="35.1" customHeight="1">
      <c r="C440" s="122"/>
      <c r="D440" s="122"/>
      <c r="E440" s="122"/>
    </row>
    <row r="441" spans="3:5" s="35" customFormat="1" ht="35.1" customHeight="1">
      <c r="C441" s="122"/>
      <c r="D441" s="122"/>
      <c r="E441" s="122"/>
    </row>
    <row r="442" spans="3:5" s="35" customFormat="1" ht="35.1" customHeight="1">
      <c r="C442" s="122"/>
      <c r="D442" s="122"/>
      <c r="E442" s="122"/>
    </row>
    <row r="443" spans="3:5" s="35" customFormat="1" ht="35.1" customHeight="1">
      <c r="C443" s="122"/>
      <c r="D443" s="122"/>
      <c r="E443" s="122"/>
    </row>
    <row r="444" spans="3:5" s="35" customFormat="1" ht="35.1" customHeight="1">
      <c r="C444" s="122"/>
      <c r="D444" s="122"/>
      <c r="E444" s="122"/>
    </row>
    <row r="445" spans="3:5" s="35" customFormat="1" ht="35.1" customHeight="1">
      <c r="C445" s="122"/>
      <c r="D445" s="122"/>
      <c r="E445" s="122"/>
    </row>
    <row r="446" spans="3:5" s="35" customFormat="1" ht="35.1" customHeight="1">
      <c r="C446" s="122"/>
      <c r="D446" s="122"/>
      <c r="E446" s="122"/>
    </row>
    <row r="447" spans="3:5" s="35" customFormat="1" ht="35.1" customHeight="1">
      <c r="C447" s="122"/>
      <c r="D447" s="122"/>
      <c r="E447" s="122"/>
    </row>
    <row r="448" spans="3:5" s="35" customFormat="1" ht="35.1" customHeight="1">
      <c r="C448" s="122"/>
      <c r="D448" s="122"/>
      <c r="E448" s="122"/>
    </row>
    <row r="449" spans="3:5" s="35" customFormat="1" ht="35.1" customHeight="1">
      <c r="C449" s="122"/>
      <c r="D449" s="122"/>
      <c r="E449" s="122"/>
    </row>
    <row r="450" spans="3:5" s="35" customFormat="1" ht="35.1" customHeight="1">
      <c r="C450" s="122"/>
      <c r="D450" s="122"/>
      <c r="E450" s="122"/>
    </row>
    <row r="451" spans="3:5" s="35" customFormat="1" ht="35.1" customHeight="1">
      <c r="C451" s="122"/>
      <c r="D451" s="122"/>
      <c r="E451" s="122"/>
    </row>
    <row r="452" spans="3:5" s="35" customFormat="1" ht="35.1" customHeight="1">
      <c r="C452" s="122"/>
      <c r="D452" s="122"/>
      <c r="E452" s="122"/>
    </row>
    <row r="453" spans="3:5" s="35" customFormat="1" ht="35.1" customHeight="1">
      <c r="C453" s="122"/>
      <c r="D453" s="122"/>
      <c r="E453" s="122"/>
    </row>
    <row r="454" spans="3:5" s="35" customFormat="1" ht="35.1" customHeight="1">
      <c r="C454" s="122"/>
      <c r="D454" s="122"/>
      <c r="E454" s="122"/>
    </row>
    <row r="455" spans="3:5" s="35" customFormat="1" ht="35.1" customHeight="1">
      <c r="C455" s="122"/>
      <c r="D455" s="122"/>
      <c r="E455" s="122"/>
    </row>
    <row r="456" spans="3:5" s="35" customFormat="1" ht="35.1" customHeight="1">
      <c r="C456" s="122"/>
      <c r="D456" s="122"/>
      <c r="E456" s="122"/>
    </row>
    <row r="457" spans="3:5" s="35" customFormat="1" ht="35.1" customHeight="1">
      <c r="C457" s="122"/>
      <c r="D457" s="122"/>
      <c r="E457" s="122"/>
    </row>
    <row r="458" spans="3:5" s="35" customFormat="1" ht="35.1" customHeight="1">
      <c r="C458" s="122"/>
      <c r="D458" s="122"/>
      <c r="E458" s="122"/>
    </row>
    <row r="459" spans="3:5" s="35" customFormat="1" ht="35.1" customHeight="1">
      <c r="C459" s="122"/>
      <c r="D459" s="122"/>
      <c r="E459" s="122"/>
    </row>
    <row r="460" spans="3:5" s="35" customFormat="1" ht="35.1" customHeight="1">
      <c r="C460" s="122"/>
      <c r="D460" s="122"/>
      <c r="E460" s="122"/>
    </row>
    <row r="461" spans="3:5" s="35" customFormat="1" ht="35.1" customHeight="1">
      <c r="C461" s="122"/>
      <c r="D461" s="122"/>
      <c r="E461" s="122"/>
    </row>
    <row r="462" spans="3:5" s="35" customFormat="1" ht="35.1" customHeight="1">
      <c r="C462" s="122"/>
      <c r="D462" s="122"/>
      <c r="E462" s="122"/>
    </row>
    <row r="463" spans="3:5" s="35" customFormat="1" ht="35.1" customHeight="1">
      <c r="C463" s="122"/>
      <c r="D463" s="122"/>
      <c r="E463" s="122"/>
    </row>
    <row r="464" spans="3:5" s="35" customFormat="1" ht="35.1" customHeight="1">
      <c r="C464" s="122"/>
      <c r="D464" s="122"/>
      <c r="E464" s="122"/>
    </row>
    <row r="465" spans="3:5" s="35" customFormat="1" ht="35.1" customHeight="1">
      <c r="C465" s="122"/>
      <c r="D465" s="122"/>
      <c r="E465" s="122"/>
    </row>
    <row r="466" spans="3:5" s="35" customFormat="1" ht="35.1" customHeight="1">
      <c r="C466" s="122"/>
      <c r="D466" s="122"/>
      <c r="E466" s="122"/>
    </row>
    <row r="467" spans="3:5" s="35" customFormat="1" ht="35.1" customHeight="1">
      <c r="C467" s="122"/>
      <c r="D467" s="122"/>
      <c r="E467" s="122"/>
    </row>
    <row r="468" spans="3:5" s="35" customFormat="1" ht="35.1" customHeight="1">
      <c r="C468" s="122"/>
      <c r="D468" s="122"/>
      <c r="E468" s="122"/>
    </row>
    <row r="469" spans="3:5" s="35" customFormat="1" ht="35.1" customHeight="1">
      <c r="C469" s="122"/>
      <c r="D469" s="122"/>
      <c r="E469" s="122"/>
    </row>
    <row r="470" spans="3:5" s="35" customFormat="1" ht="35.1" customHeight="1">
      <c r="C470" s="122"/>
      <c r="D470" s="122"/>
      <c r="E470" s="122"/>
    </row>
    <row r="471" spans="3:5" s="35" customFormat="1" ht="35.1" customHeight="1">
      <c r="C471" s="122"/>
      <c r="D471" s="122"/>
      <c r="E471" s="122"/>
    </row>
    <row r="472" spans="3:5" s="35" customFormat="1" ht="35.1" customHeight="1">
      <c r="C472" s="122"/>
      <c r="D472" s="122"/>
      <c r="E472" s="122"/>
    </row>
    <row r="473" spans="3:5" s="35" customFormat="1" ht="35.1" customHeight="1">
      <c r="C473" s="122"/>
      <c r="D473" s="122"/>
      <c r="E473" s="122"/>
    </row>
    <row r="474" spans="3:5" s="35" customFormat="1" ht="35.1" customHeight="1">
      <c r="C474" s="122"/>
      <c r="D474" s="122"/>
      <c r="E474" s="122"/>
    </row>
    <row r="475" spans="3:5" s="35" customFormat="1" ht="35.1" customHeight="1">
      <c r="C475" s="122"/>
      <c r="D475" s="122"/>
      <c r="E475" s="122"/>
    </row>
    <row r="476" spans="3:5" s="35" customFormat="1" ht="35.1" customHeight="1">
      <c r="C476" s="122"/>
      <c r="D476" s="122"/>
      <c r="E476" s="122"/>
    </row>
    <row r="477" spans="3:5" s="35" customFormat="1" ht="35.1" customHeight="1">
      <c r="C477" s="122"/>
      <c r="D477" s="122"/>
      <c r="E477" s="122"/>
    </row>
    <row r="478" spans="3:5" s="35" customFormat="1" ht="35.1" customHeight="1">
      <c r="C478" s="122"/>
      <c r="D478" s="122"/>
      <c r="E478" s="122"/>
    </row>
    <row r="479" spans="3:5" s="35" customFormat="1" ht="35.1" customHeight="1">
      <c r="C479" s="122"/>
      <c r="D479" s="122"/>
      <c r="E479" s="122"/>
    </row>
    <row r="480" spans="3:5" s="35" customFormat="1" ht="35.1" customHeight="1">
      <c r="C480" s="122"/>
      <c r="D480" s="122"/>
      <c r="E480" s="122"/>
    </row>
    <row r="481" spans="3:5" s="35" customFormat="1" ht="35.1" customHeight="1">
      <c r="C481" s="122"/>
      <c r="D481" s="122"/>
      <c r="E481" s="122"/>
    </row>
    <row r="482" spans="3:5" s="35" customFormat="1" ht="35.1" customHeight="1">
      <c r="C482" s="122"/>
      <c r="D482" s="122"/>
      <c r="E482" s="122"/>
    </row>
    <row r="483" spans="3:5" s="35" customFormat="1" ht="35.1" customHeight="1">
      <c r="C483" s="122"/>
      <c r="D483" s="122"/>
      <c r="E483" s="122"/>
    </row>
    <row r="484" spans="3:5" s="35" customFormat="1" ht="35.1" customHeight="1">
      <c r="C484" s="122"/>
      <c r="D484" s="122"/>
      <c r="E484" s="122"/>
    </row>
    <row r="485" spans="3:5" s="35" customFormat="1" ht="35.1" customHeight="1">
      <c r="C485" s="122"/>
      <c r="D485" s="122"/>
      <c r="E485" s="122"/>
    </row>
    <row r="486" spans="3:5" s="35" customFormat="1" ht="35.1" customHeight="1">
      <c r="C486" s="122"/>
      <c r="D486" s="122"/>
      <c r="E486" s="122"/>
    </row>
    <row r="487" spans="3:5" s="35" customFormat="1" ht="35.1" customHeight="1">
      <c r="C487" s="122"/>
      <c r="D487" s="122"/>
      <c r="E487" s="122"/>
    </row>
    <row r="488" spans="3:5" s="35" customFormat="1" ht="35.1" customHeight="1">
      <c r="C488" s="122"/>
      <c r="D488" s="122"/>
      <c r="E488" s="122"/>
    </row>
    <row r="489" spans="3:5" s="35" customFormat="1" ht="35.1" customHeight="1">
      <c r="C489" s="122"/>
      <c r="D489" s="122"/>
      <c r="E489" s="122"/>
    </row>
    <row r="490" spans="3:5" s="35" customFormat="1" ht="35.1" customHeight="1">
      <c r="C490" s="122"/>
      <c r="D490" s="122"/>
      <c r="E490" s="122"/>
    </row>
    <row r="491" spans="3:5" s="35" customFormat="1" ht="35.1" customHeight="1">
      <c r="C491" s="122"/>
      <c r="D491" s="122"/>
      <c r="E491" s="122"/>
    </row>
    <row r="492" spans="3:5" s="35" customFormat="1" ht="35.1" customHeight="1">
      <c r="C492" s="122"/>
      <c r="D492" s="122"/>
      <c r="E492" s="122"/>
    </row>
    <row r="493" spans="3:5" s="35" customFormat="1" ht="35.1" customHeight="1">
      <c r="C493" s="122"/>
      <c r="D493" s="122"/>
      <c r="E493" s="122"/>
    </row>
    <row r="494" spans="3:5" s="35" customFormat="1" ht="35.1" customHeight="1">
      <c r="C494" s="122"/>
      <c r="D494" s="122"/>
      <c r="E494" s="122"/>
    </row>
    <row r="495" spans="3:5" s="35" customFormat="1" ht="35.1" customHeight="1">
      <c r="C495" s="122"/>
      <c r="D495" s="122"/>
      <c r="E495" s="122"/>
    </row>
    <row r="496" spans="3:5" s="35" customFormat="1" ht="35.1" customHeight="1">
      <c r="C496" s="122"/>
      <c r="D496" s="122"/>
      <c r="E496" s="122"/>
    </row>
    <row r="497" spans="3:5" s="35" customFormat="1" ht="35.1" customHeight="1">
      <c r="C497" s="122"/>
      <c r="D497" s="122"/>
      <c r="E497" s="122"/>
    </row>
    <row r="498" spans="3:5" s="35" customFormat="1" ht="35.1" customHeight="1">
      <c r="C498" s="122"/>
      <c r="D498" s="122"/>
      <c r="E498" s="122"/>
    </row>
    <row r="499" spans="3:5" s="35" customFormat="1" ht="35.1" customHeight="1">
      <c r="C499" s="122"/>
      <c r="D499" s="122"/>
      <c r="E499" s="122"/>
    </row>
    <row r="500" spans="3:5" s="35" customFormat="1" ht="35.1" customHeight="1">
      <c r="C500" s="122"/>
      <c r="D500" s="122"/>
      <c r="E500" s="122"/>
    </row>
    <row r="501" spans="3:5" s="35" customFormat="1" ht="35.1" customHeight="1">
      <c r="C501" s="122"/>
      <c r="D501" s="122"/>
      <c r="E501" s="122"/>
    </row>
    <row r="502" spans="3:5" s="35" customFormat="1" ht="35.1" customHeight="1">
      <c r="C502" s="122"/>
      <c r="D502" s="122"/>
      <c r="E502" s="122"/>
    </row>
    <row r="503" spans="3:5" s="35" customFormat="1" ht="35.1" customHeight="1">
      <c r="C503" s="122"/>
      <c r="D503" s="122"/>
      <c r="E503" s="122"/>
    </row>
    <row r="504" spans="3:5" s="35" customFormat="1" ht="35.1" customHeight="1">
      <c r="C504" s="122"/>
      <c r="D504" s="122"/>
      <c r="E504" s="122"/>
    </row>
    <row r="505" spans="3:5" s="35" customFormat="1" ht="35.1" customHeight="1">
      <c r="C505" s="122"/>
      <c r="D505" s="122"/>
      <c r="E505" s="122"/>
    </row>
    <row r="506" spans="3:5" s="35" customFormat="1" ht="35.1" customHeight="1">
      <c r="C506" s="122"/>
      <c r="D506" s="122"/>
      <c r="E506" s="122"/>
    </row>
    <row r="507" spans="3:5" s="35" customFormat="1" ht="35.1" customHeight="1">
      <c r="C507" s="122"/>
      <c r="D507" s="122"/>
      <c r="E507" s="122"/>
    </row>
    <row r="508" spans="3:5" s="35" customFormat="1" ht="35.1" customHeight="1">
      <c r="C508" s="122"/>
      <c r="D508" s="122"/>
      <c r="E508" s="122"/>
    </row>
    <row r="509" spans="3:5" s="35" customFormat="1" ht="35.1" customHeight="1">
      <c r="C509" s="122"/>
      <c r="D509" s="122"/>
      <c r="E509" s="122"/>
    </row>
    <row r="510" spans="3:5" s="35" customFormat="1" ht="35.1" customHeight="1">
      <c r="C510" s="122"/>
      <c r="D510" s="122"/>
      <c r="E510" s="122"/>
    </row>
    <row r="511" spans="3:5" s="35" customFormat="1" ht="35.1" customHeight="1">
      <c r="C511" s="122"/>
      <c r="D511" s="122"/>
      <c r="E511" s="122"/>
    </row>
    <row r="512" spans="3:5" s="35" customFormat="1" ht="35.1" customHeight="1">
      <c r="C512" s="122"/>
      <c r="D512" s="122"/>
      <c r="E512" s="122"/>
    </row>
    <row r="513" spans="3:5" s="35" customFormat="1" ht="35.1" customHeight="1">
      <c r="C513" s="122"/>
      <c r="D513" s="122"/>
      <c r="E513" s="122"/>
    </row>
    <row r="514" spans="3:5" s="35" customFormat="1" ht="35.1" customHeight="1">
      <c r="C514" s="122"/>
      <c r="D514" s="122"/>
      <c r="E514" s="122"/>
    </row>
    <row r="515" spans="3:5" s="35" customFormat="1" ht="35.1" customHeight="1">
      <c r="C515" s="122"/>
      <c r="D515" s="122"/>
      <c r="E515" s="122"/>
    </row>
    <row r="516" spans="3:5" s="35" customFormat="1" ht="35.1" customHeight="1">
      <c r="C516" s="122"/>
      <c r="D516" s="122"/>
      <c r="E516" s="122"/>
    </row>
    <row r="517" spans="3:5" s="35" customFormat="1" ht="35.1" customHeight="1">
      <c r="C517" s="122"/>
      <c r="D517" s="122"/>
      <c r="E517" s="122"/>
    </row>
    <row r="518" spans="3:5" s="35" customFormat="1" ht="35.1" customHeight="1">
      <c r="C518" s="122"/>
      <c r="D518" s="122"/>
      <c r="E518" s="122"/>
    </row>
    <row r="519" spans="3:5" s="35" customFormat="1" ht="35.1" customHeight="1">
      <c r="C519" s="122"/>
      <c r="D519" s="122"/>
      <c r="E519" s="122"/>
    </row>
    <row r="520" spans="3:5" s="35" customFormat="1" ht="35.1" customHeight="1">
      <c r="C520" s="122"/>
      <c r="D520" s="122"/>
      <c r="E520" s="122"/>
    </row>
    <row r="521" spans="3:5" s="35" customFormat="1" ht="35.1" customHeight="1">
      <c r="C521" s="122"/>
      <c r="D521" s="122"/>
      <c r="E521" s="122"/>
    </row>
    <row r="522" spans="3:5" s="35" customFormat="1" ht="35.1" customHeight="1">
      <c r="C522" s="122"/>
      <c r="D522" s="122"/>
      <c r="E522" s="122"/>
    </row>
    <row r="523" spans="3:5" s="35" customFormat="1" ht="35.1" customHeight="1">
      <c r="C523" s="122"/>
      <c r="D523" s="122"/>
      <c r="E523" s="122"/>
    </row>
    <row r="524" spans="3:5" s="35" customFormat="1" ht="35.1" customHeight="1">
      <c r="C524" s="122"/>
      <c r="D524" s="122"/>
      <c r="E524" s="122"/>
    </row>
    <row r="525" spans="3:5" s="35" customFormat="1" ht="35.1" customHeight="1">
      <c r="C525" s="122"/>
      <c r="D525" s="122"/>
      <c r="E525" s="122"/>
    </row>
    <row r="526" spans="3:5" s="35" customFormat="1" ht="35.1" customHeight="1">
      <c r="C526" s="122"/>
      <c r="D526" s="122"/>
      <c r="E526" s="122"/>
    </row>
    <row r="527" spans="3:5" s="35" customFormat="1" ht="35.1" customHeight="1">
      <c r="C527" s="122"/>
      <c r="D527" s="122"/>
      <c r="E527" s="122"/>
    </row>
    <row r="528" spans="3:5" s="35" customFormat="1" ht="35.1" customHeight="1">
      <c r="C528" s="122"/>
      <c r="D528" s="122"/>
      <c r="E528" s="122"/>
    </row>
    <row r="529" spans="3:5" s="35" customFormat="1" ht="35.1" customHeight="1">
      <c r="C529" s="122"/>
      <c r="D529" s="122"/>
      <c r="E529" s="122"/>
    </row>
    <row r="530" spans="3:5" s="35" customFormat="1" ht="35.1" customHeight="1">
      <c r="C530" s="122"/>
      <c r="D530" s="122"/>
      <c r="E530" s="122"/>
    </row>
    <row r="531" spans="3:5" s="35" customFormat="1" ht="35.1" customHeight="1">
      <c r="C531" s="122"/>
      <c r="D531" s="122"/>
      <c r="E531" s="122"/>
    </row>
    <row r="532" spans="3:5" s="35" customFormat="1" ht="35.1" customHeight="1">
      <c r="C532" s="122"/>
      <c r="D532" s="122"/>
      <c r="E532" s="122"/>
    </row>
    <row r="533" spans="3:5" s="35" customFormat="1" ht="35.1" customHeight="1">
      <c r="C533" s="122"/>
      <c r="D533" s="122"/>
      <c r="E533" s="122"/>
    </row>
    <row r="534" spans="3:5" s="35" customFormat="1" ht="35.1" customHeight="1">
      <c r="C534" s="122"/>
      <c r="D534" s="122"/>
      <c r="E534" s="122"/>
    </row>
    <row r="535" spans="3:5" s="35" customFormat="1" ht="35.1" customHeight="1">
      <c r="C535" s="122"/>
      <c r="D535" s="122"/>
      <c r="E535" s="122"/>
    </row>
    <row r="536" spans="3:5" s="35" customFormat="1" ht="35.1" customHeight="1">
      <c r="C536" s="122"/>
      <c r="D536" s="122"/>
      <c r="E536" s="122"/>
    </row>
    <row r="537" spans="3:5" s="35" customFormat="1" ht="35.1" customHeight="1">
      <c r="C537" s="122"/>
      <c r="D537" s="122"/>
      <c r="E537" s="122"/>
    </row>
    <row r="538" spans="3:5" s="35" customFormat="1" ht="35.1" customHeight="1">
      <c r="C538" s="122"/>
      <c r="D538" s="122"/>
      <c r="E538" s="122"/>
    </row>
    <row r="539" spans="3:5" s="35" customFormat="1" ht="35.1" customHeight="1">
      <c r="C539" s="122"/>
      <c r="D539" s="122"/>
      <c r="E539" s="122"/>
    </row>
    <row r="540" spans="3:5" s="35" customFormat="1" ht="35.1" customHeight="1">
      <c r="C540" s="122"/>
      <c r="D540" s="122"/>
      <c r="E540" s="122"/>
    </row>
    <row r="541" spans="3:5" s="35" customFormat="1" ht="35.1" customHeight="1">
      <c r="C541" s="122"/>
      <c r="D541" s="122"/>
      <c r="E541" s="122"/>
    </row>
    <row r="542" spans="3:5" s="35" customFormat="1" ht="35.1" customHeight="1">
      <c r="C542" s="122"/>
      <c r="D542" s="122"/>
      <c r="E542" s="122"/>
    </row>
    <row r="543" spans="3:5" s="35" customFormat="1" ht="35.1" customHeight="1">
      <c r="C543" s="122"/>
      <c r="D543" s="122"/>
      <c r="E543" s="122"/>
    </row>
    <row r="544" spans="3:5" s="35" customFormat="1" ht="35.1" customHeight="1">
      <c r="C544" s="122"/>
      <c r="D544" s="122"/>
      <c r="E544" s="122"/>
    </row>
    <row r="545" spans="3:5" s="35" customFormat="1" ht="35.1" customHeight="1">
      <c r="C545" s="122"/>
      <c r="D545" s="122"/>
      <c r="E545" s="122"/>
    </row>
    <row r="546" spans="3:5" s="35" customFormat="1" ht="35.1" customHeight="1">
      <c r="C546" s="122"/>
      <c r="D546" s="122"/>
      <c r="E546" s="122"/>
    </row>
    <row r="547" spans="3:5" s="35" customFormat="1" ht="35.1" customHeight="1">
      <c r="C547" s="122"/>
      <c r="D547" s="122"/>
      <c r="E547" s="122"/>
    </row>
    <row r="548" spans="3:5" s="35" customFormat="1" ht="35.1" customHeight="1">
      <c r="C548" s="122"/>
      <c r="D548" s="122"/>
      <c r="E548" s="122"/>
    </row>
    <row r="549" spans="3:5" s="35" customFormat="1" ht="35.1" customHeight="1">
      <c r="C549" s="122"/>
      <c r="D549" s="122"/>
      <c r="E549" s="122"/>
    </row>
    <row r="550" spans="3:5" s="35" customFormat="1" ht="35.1" customHeight="1">
      <c r="C550" s="122"/>
      <c r="D550" s="122"/>
      <c r="E550" s="122"/>
    </row>
    <row r="551" spans="3:5" s="35" customFormat="1" ht="35.1" customHeight="1">
      <c r="C551" s="122"/>
      <c r="D551" s="122"/>
      <c r="E551" s="122"/>
    </row>
    <row r="552" spans="3:5" s="35" customFormat="1" ht="35.1" customHeight="1">
      <c r="C552" s="122"/>
      <c r="D552" s="122"/>
      <c r="E552" s="122"/>
    </row>
    <row r="553" spans="3:5" s="35" customFormat="1" ht="35.1" customHeight="1">
      <c r="C553" s="122"/>
      <c r="D553" s="122"/>
      <c r="E553" s="122"/>
    </row>
    <row r="554" spans="3:5" s="35" customFormat="1" ht="35.1" customHeight="1">
      <c r="C554" s="122"/>
      <c r="D554" s="122"/>
      <c r="E554" s="122"/>
    </row>
    <row r="555" spans="3:5" s="35" customFormat="1" ht="35.1" customHeight="1">
      <c r="C555" s="122"/>
      <c r="D555" s="122"/>
      <c r="E555" s="122"/>
    </row>
    <row r="556" spans="3:5" s="35" customFormat="1" ht="35.1" customHeight="1">
      <c r="C556" s="122"/>
      <c r="D556" s="122"/>
      <c r="E556" s="122"/>
    </row>
    <row r="557" spans="3:5" s="35" customFormat="1" ht="35.1" customHeight="1">
      <c r="C557" s="122"/>
      <c r="D557" s="122"/>
      <c r="E557" s="122"/>
    </row>
    <row r="558" spans="3:5" s="35" customFormat="1" ht="35.1" customHeight="1">
      <c r="C558" s="122"/>
      <c r="D558" s="122"/>
      <c r="E558" s="122"/>
    </row>
    <row r="559" spans="3:5" s="35" customFormat="1" ht="35.1" customHeight="1">
      <c r="C559" s="122"/>
      <c r="D559" s="122"/>
      <c r="E559" s="122"/>
    </row>
    <row r="560" spans="3:5" s="35" customFormat="1" ht="35.1" customHeight="1">
      <c r="C560" s="122"/>
      <c r="D560" s="122"/>
      <c r="E560" s="122"/>
    </row>
    <row r="561" spans="3:5" s="35" customFormat="1" ht="35.1" customHeight="1">
      <c r="C561" s="122"/>
      <c r="D561" s="122"/>
      <c r="E561" s="122"/>
    </row>
    <row r="562" spans="3:5" s="35" customFormat="1" ht="35.1" customHeight="1">
      <c r="C562" s="122"/>
      <c r="D562" s="122"/>
      <c r="E562" s="122"/>
    </row>
    <row r="563" spans="3:5" s="35" customFormat="1" ht="35.1" customHeight="1">
      <c r="C563" s="122"/>
      <c r="D563" s="122"/>
      <c r="E563" s="122"/>
    </row>
    <row r="564" spans="3:5" s="35" customFormat="1" ht="35.1" customHeight="1">
      <c r="C564" s="122"/>
      <c r="D564" s="122"/>
      <c r="E564" s="122"/>
    </row>
    <row r="565" spans="3:5" s="35" customFormat="1" ht="35.1" customHeight="1">
      <c r="C565" s="122"/>
      <c r="D565" s="122"/>
      <c r="E565" s="122"/>
    </row>
    <row r="566" spans="3:5" s="35" customFormat="1" ht="35.1" customHeight="1">
      <c r="C566" s="122"/>
      <c r="D566" s="122"/>
      <c r="E566" s="122"/>
    </row>
    <row r="567" spans="3:5" s="35" customFormat="1" ht="35.1" customHeight="1">
      <c r="C567" s="122"/>
      <c r="D567" s="122"/>
      <c r="E567" s="122"/>
    </row>
    <row r="568" spans="3:5" s="35" customFormat="1" ht="35.1" customHeight="1">
      <c r="C568" s="122"/>
      <c r="D568" s="122"/>
      <c r="E568" s="122"/>
    </row>
    <row r="569" spans="3:5" s="35" customFormat="1" ht="35.1" customHeight="1">
      <c r="C569" s="122"/>
      <c r="D569" s="122"/>
      <c r="E569" s="122"/>
    </row>
    <row r="570" spans="3:5" s="35" customFormat="1" ht="35.1" customHeight="1">
      <c r="C570" s="122"/>
      <c r="D570" s="122"/>
      <c r="E570" s="122"/>
    </row>
    <row r="571" spans="3:5" s="35" customFormat="1" ht="35.1" customHeight="1">
      <c r="C571" s="122"/>
      <c r="D571" s="122"/>
      <c r="E571" s="122"/>
    </row>
    <row r="572" spans="3:5" s="35" customFormat="1" ht="35.1" customHeight="1">
      <c r="C572" s="122"/>
      <c r="D572" s="122"/>
      <c r="E572" s="122"/>
    </row>
    <row r="573" spans="3:5" s="35" customFormat="1" ht="35.1" customHeight="1">
      <c r="C573" s="122"/>
      <c r="D573" s="122"/>
      <c r="E573" s="122"/>
    </row>
    <row r="574" spans="3:5" s="35" customFormat="1" ht="35.1" customHeight="1">
      <c r="C574" s="122"/>
      <c r="D574" s="122"/>
      <c r="E574" s="122"/>
    </row>
    <row r="575" spans="3:5" s="35" customFormat="1" ht="35.1" customHeight="1">
      <c r="C575" s="122"/>
      <c r="D575" s="122"/>
      <c r="E575" s="122"/>
    </row>
    <row r="576" spans="3:5" s="35" customFormat="1" ht="35.1" customHeight="1">
      <c r="C576" s="122"/>
      <c r="D576" s="122"/>
      <c r="E576" s="122"/>
    </row>
    <row r="577" spans="3:5" s="35" customFormat="1" ht="35.1" customHeight="1">
      <c r="C577" s="122"/>
      <c r="D577" s="122"/>
      <c r="E577" s="122"/>
    </row>
    <row r="578" spans="3:5" s="35" customFormat="1" ht="35.1" customHeight="1">
      <c r="C578" s="122"/>
      <c r="D578" s="122"/>
      <c r="E578" s="122"/>
    </row>
    <row r="579" spans="3:5" s="35" customFormat="1" ht="35.1" customHeight="1">
      <c r="C579" s="122"/>
      <c r="D579" s="122"/>
      <c r="E579" s="122"/>
    </row>
    <row r="580" spans="3:5" s="35" customFormat="1" ht="35.1" customHeight="1">
      <c r="C580" s="122"/>
      <c r="D580" s="122"/>
      <c r="E580" s="122"/>
    </row>
    <row r="581" spans="3:5" s="35" customFormat="1" ht="35.1" customHeight="1">
      <c r="C581" s="122"/>
      <c r="D581" s="122"/>
      <c r="E581" s="122"/>
    </row>
    <row r="582" spans="3:5" s="35" customFormat="1" ht="35.1" customHeight="1">
      <c r="C582" s="122"/>
      <c r="D582" s="122"/>
      <c r="E582" s="122"/>
    </row>
    <row r="583" spans="3:5" s="35" customFormat="1" ht="35.1" customHeight="1">
      <c r="C583" s="122"/>
      <c r="D583" s="122"/>
      <c r="E583" s="122"/>
    </row>
    <row r="584" spans="3:5" s="35" customFormat="1" ht="35.1" customHeight="1">
      <c r="C584" s="122"/>
      <c r="D584" s="122"/>
      <c r="E584" s="122"/>
    </row>
    <row r="585" spans="3:5" s="35" customFormat="1" ht="35.1" customHeight="1">
      <c r="C585" s="122"/>
      <c r="D585" s="122"/>
      <c r="E585" s="122"/>
    </row>
    <row r="586" spans="3:5" s="35" customFormat="1" ht="35.1" customHeight="1">
      <c r="C586" s="122"/>
      <c r="D586" s="122"/>
      <c r="E586" s="122"/>
    </row>
    <row r="587" spans="3:5" s="35" customFormat="1" ht="35.1" customHeight="1">
      <c r="C587" s="122"/>
      <c r="D587" s="122"/>
      <c r="E587" s="122"/>
    </row>
    <row r="588" spans="3:5" s="35" customFormat="1" ht="35.1" customHeight="1">
      <c r="C588" s="122"/>
      <c r="D588" s="122"/>
      <c r="E588" s="122"/>
    </row>
    <row r="589" spans="3:5" s="35" customFormat="1" ht="35.1" customHeight="1">
      <c r="C589" s="122"/>
      <c r="D589" s="122"/>
      <c r="E589" s="122"/>
    </row>
    <row r="590" spans="3:5" s="35" customFormat="1" ht="35.1" customHeight="1">
      <c r="C590" s="122"/>
      <c r="D590" s="122"/>
      <c r="E590" s="122"/>
    </row>
    <row r="591" spans="3:5" s="35" customFormat="1" ht="35.1" customHeight="1">
      <c r="C591" s="122"/>
      <c r="D591" s="122"/>
      <c r="E591" s="122"/>
    </row>
    <row r="592" spans="3:5" s="35" customFormat="1" ht="35.1" customHeight="1">
      <c r="C592" s="122"/>
      <c r="D592" s="122"/>
      <c r="E592" s="122"/>
    </row>
    <row r="593" spans="3:5" s="35" customFormat="1" ht="35.1" customHeight="1">
      <c r="C593" s="122"/>
      <c r="D593" s="122"/>
      <c r="E593" s="122"/>
    </row>
    <row r="594" spans="3:5" s="35" customFormat="1" ht="35.1" customHeight="1">
      <c r="C594" s="122"/>
      <c r="D594" s="122"/>
      <c r="E594" s="122"/>
    </row>
    <row r="595" spans="3:5" s="35" customFormat="1" ht="35.1" customHeight="1">
      <c r="C595" s="122"/>
      <c r="D595" s="122"/>
      <c r="E595" s="122"/>
    </row>
    <row r="596" spans="3:5" s="35" customFormat="1" ht="35.1" customHeight="1">
      <c r="C596" s="122"/>
      <c r="D596" s="122"/>
      <c r="E596" s="122"/>
    </row>
    <row r="597" spans="3:5" s="35" customFormat="1" ht="35.1" customHeight="1">
      <c r="C597" s="122"/>
      <c r="D597" s="122"/>
      <c r="E597" s="122"/>
    </row>
    <row r="598" spans="3:5" s="35" customFormat="1" ht="35.1" customHeight="1">
      <c r="C598" s="122"/>
      <c r="D598" s="122"/>
      <c r="E598" s="122"/>
    </row>
    <row r="599" spans="3:5" s="35" customFormat="1" ht="35.1" customHeight="1">
      <c r="C599" s="122"/>
      <c r="D599" s="122"/>
      <c r="E599" s="122"/>
    </row>
    <row r="600" spans="3:5" s="35" customFormat="1" ht="35.1" customHeight="1">
      <c r="C600" s="122"/>
      <c r="D600" s="122"/>
      <c r="E600" s="122"/>
    </row>
    <row r="601" spans="3:5" s="35" customFormat="1" ht="35.1" customHeight="1">
      <c r="C601" s="122"/>
      <c r="D601" s="122"/>
      <c r="E601" s="122"/>
    </row>
    <row r="602" spans="3:5" s="35" customFormat="1" ht="35.1" customHeight="1">
      <c r="C602" s="122"/>
      <c r="D602" s="122"/>
      <c r="E602" s="122"/>
    </row>
    <row r="603" spans="3:5" s="35" customFormat="1" ht="35.1" customHeight="1">
      <c r="C603" s="122"/>
      <c r="D603" s="122"/>
      <c r="E603" s="122"/>
    </row>
    <row r="604" spans="3:5" s="35" customFormat="1" ht="35.1" customHeight="1">
      <c r="C604" s="122"/>
      <c r="D604" s="122"/>
      <c r="E604" s="122"/>
    </row>
    <row r="605" spans="3:5" s="35" customFormat="1" ht="35.1" customHeight="1">
      <c r="C605" s="122"/>
      <c r="D605" s="122"/>
      <c r="E605" s="122"/>
    </row>
    <row r="606" spans="3:5" s="35" customFormat="1" ht="35.1" customHeight="1">
      <c r="C606" s="122"/>
      <c r="D606" s="122"/>
      <c r="E606" s="122"/>
    </row>
    <row r="607" spans="3:5" s="35" customFormat="1" ht="35.1" customHeight="1">
      <c r="C607" s="122"/>
      <c r="D607" s="122"/>
      <c r="E607" s="122"/>
    </row>
    <row r="608" spans="3:5" s="35" customFormat="1" ht="35.1" customHeight="1">
      <c r="C608" s="122"/>
      <c r="D608" s="122"/>
      <c r="E608" s="122"/>
    </row>
    <row r="609" spans="3:5" s="35" customFormat="1" ht="35.1" customHeight="1">
      <c r="C609" s="122"/>
      <c r="D609" s="122"/>
      <c r="E609" s="122"/>
    </row>
    <row r="610" spans="3:5" s="35" customFormat="1" ht="35.1" customHeight="1">
      <c r="C610" s="122"/>
      <c r="D610" s="122"/>
      <c r="E610" s="122"/>
    </row>
    <row r="611" spans="3:5" s="35" customFormat="1" ht="35.1" customHeight="1">
      <c r="C611" s="122"/>
      <c r="D611" s="122"/>
      <c r="E611" s="122"/>
    </row>
    <row r="612" spans="3:5" s="35" customFormat="1" ht="35.1" customHeight="1">
      <c r="C612" s="122"/>
      <c r="D612" s="122"/>
      <c r="E612" s="122"/>
    </row>
    <row r="613" spans="3:5" s="35" customFormat="1" ht="35.1" customHeight="1">
      <c r="C613" s="122"/>
      <c r="D613" s="122"/>
      <c r="E613" s="122"/>
    </row>
    <row r="614" spans="3:5" s="35" customFormat="1" ht="35.1" customHeight="1">
      <c r="C614" s="122"/>
      <c r="D614" s="122"/>
      <c r="E614" s="122"/>
    </row>
    <row r="615" spans="3:5" s="35" customFormat="1" ht="35.1" customHeight="1">
      <c r="C615" s="122"/>
      <c r="D615" s="122"/>
      <c r="E615" s="122"/>
    </row>
    <row r="616" spans="3:5" s="35" customFormat="1" ht="35.1" customHeight="1">
      <c r="C616" s="122"/>
      <c r="D616" s="122"/>
      <c r="E616" s="122"/>
    </row>
    <row r="617" spans="3:5" s="35" customFormat="1" ht="35.1" customHeight="1">
      <c r="C617" s="122"/>
      <c r="D617" s="122"/>
      <c r="E617" s="122"/>
    </row>
    <row r="618" spans="3:5" s="35" customFormat="1" ht="35.1" customHeight="1">
      <c r="C618" s="122"/>
      <c r="D618" s="122"/>
      <c r="E618" s="122"/>
    </row>
    <row r="619" spans="3:5" s="35" customFormat="1" ht="35.1" customHeight="1">
      <c r="C619" s="122"/>
      <c r="D619" s="122"/>
      <c r="E619" s="122"/>
    </row>
    <row r="620" spans="3:5" s="35" customFormat="1" ht="35.1" customHeight="1">
      <c r="C620" s="122"/>
      <c r="D620" s="122"/>
      <c r="E620" s="122"/>
    </row>
    <row r="621" spans="3:5" s="35" customFormat="1" ht="35.1" customHeight="1">
      <c r="C621" s="122"/>
      <c r="D621" s="122"/>
      <c r="E621" s="122"/>
    </row>
    <row r="622" spans="3:5" s="35" customFormat="1" ht="35.1" customHeight="1">
      <c r="C622" s="122"/>
      <c r="D622" s="122"/>
      <c r="E622" s="122"/>
    </row>
    <row r="623" spans="3:5" s="35" customFormat="1" ht="35.1" customHeight="1">
      <c r="C623" s="122"/>
      <c r="D623" s="122"/>
      <c r="E623" s="122"/>
    </row>
    <row r="624" spans="3:5" s="35" customFormat="1" ht="35.1" customHeight="1">
      <c r="C624" s="122"/>
      <c r="D624" s="122"/>
      <c r="E624" s="122"/>
    </row>
    <row r="625" spans="3:5" s="35" customFormat="1" ht="35.1" customHeight="1">
      <c r="C625" s="122"/>
      <c r="D625" s="122"/>
      <c r="E625" s="122"/>
    </row>
    <row r="626" spans="3:5" s="35" customFormat="1" ht="35.1" customHeight="1">
      <c r="C626" s="122"/>
      <c r="D626" s="122"/>
      <c r="E626" s="122"/>
    </row>
    <row r="627" spans="3:5" s="35" customFormat="1" ht="35.1" customHeight="1">
      <c r="C627" s="122"/>
      <c r="D627" s="122"/>
      <c r="E627" s="122"/>
    </row>
    <row r="628" spans="3:5" s="35" customFormat="1" ht="35.1" customHeight="1">
      <c r="C628" s="122"/>
      <c r="D628" s="122"/>
      <c r="E628" s="122"/>
    </row>
    <row r="629" spans="3:5" s="35" customFormat="1" ht="35.1" customHeight="1">
      <c r="C629" s="122"/>
      <c r="D629" s="122"/>
      <c r="E629" s="122"/>
    </row>
    <row r="630" spans="3:5" s="35" customFormat="1" ht="35.1" customHeight="1">
      <c r="C630" s="122"/>
      <c r="D630" s="122"/>
      <c r="E630" s="122"/>
    </row>
    <row r="631" spans="3:5" s="35" customFormat="1" ht="35.1" customHeight="1">
      <c r="C631" s="122"/>
      <c r="D631" s="122"/>
      <c r="E631" s="122"/>
    </row>
    <row r="632" spans="3:5" s="35" customFormat="1" ht="35.1" customHeight="1">
      <c r="C632" s="122"/>
      <c r="D632" s="122"/>
      <c r="E632" s="122"/>
    </row>
    <row r="633" spans="3:5" s="35" customFormat="1" ht="35.1" customHeight="1">
      <c r="C633" s="122"/>
      <c r="D633" s="122"/>
      <c r="E633" s="122"/>
    </row>
    <row r="634" spans="3:5" s="35" customFormat="1" ht="35.1" customHeight="1">
      <c r="C634" s="122"/>
      <c r="D634" s="122"/>
      <c r="E634" s="122"/>
    </row>
    <row r="635" spans="3:5" s="35" customFormat="1" ht="35.1" customHeight="1">
      <c r="C635" s="122"/>
      <c r="D635" s="122"/>
      <c r="E635" s="122"/>
    </row>
    <row r="636" spans="3:5" s="35" customFormat="1" ht="35.1" customHeight="1">
      <c r="C636" s="122"/>
      <c r="D636" s="122"/>
      <c r="E636" s="122"/>
    </row>
    <row r="637" spans="3:5" s="35" customFormat="1" ht="35.1" customHeight="1">
      <c r="C637" s="122"/>
      <c r="D637" s="122"/>
      <c r="E637" s="122"/>
    </row>
    <row r="638" spans="3:5" s="35" customFormat="1" ht="35.1" customHeight="1">
      <c r="C638" s="122"/>
      <c r="D638" s="122"/>
      <c r="E638" s="122"/>
    </row>
    <row r="639" spans="3:5" s="35" customFormat="1" ht="35.1" customHeight="1">
      <c r="C639" s="122"/>
      <c r="D639" s="122"/>
      <c r="E639" s="122"/>
    </row>
    <row r="640" spans="3:5" s="35" customFormat="1" ht="35.1" customHeight="1">
      <c r="C640" s="122"/>
      <c r="D640" s="122"/>
      <c r="E640" s="122"/>
    </row>
    <row r="641" spans="3:5" s="35" customFormat="1" ht="35.1" customHeight="1">
      <c r="C641" s="122"/>
      <c r="D641" s="122"/>
      <c r="E641" s="122"/>
    </row>
    <row r="642" spans="3:5" s="35" customFormat="1" ht="35.1" customHeight="1">
      <c r="C642" s="122"/>
      <c r="D642" s="122"/>
      <c r="E642" s="122"/>
    </row>
    <row r="643" spans="3:5" s="35" customFormat="1" ht="35.1" customHeight="1">
      <c r="C643" s="122"/>
      <c r="D643" s="122"/>
      <c r="E643" s="122"/>
    </row>
    <row r="644" spans="3:5" s="35" customFormat="1" ht="35.1" customHeight="1">
      <c r="C644" s="122"/>
      <c r="D644" s="122"/>
      <c r="E644" s="122"/>
    </row>
  </sheetData>
  <mergeCells count="12">
    <mergeCell ref="D1:E1"/>
    <mergeCell ref="A2:B2"/>
    <mergeCell ref="C2:E2"/>
    <mergeCell ref="A3:E3"/>
    <mergeCell ref="A4:E4"/>
    <mergeCell ref="A54:E54"/>
    <mergeCell ref="A55:E55"/>
    <mergeCell ref="C5:C6"/>
    <mergeCell ref="D5:D6"/>
    <mergeCell ref="E5:E6"/>
    <mergeCell ref="A5:A6"/>
    <mergeCell ref="B5:B6"/>
  </mergeCells>
  <pageMargins left="0.4" right="0.23" top="0.22" bottom="0.27" header="0.16" footer="0.17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3">
    <pageSetUpPr fitToPage="1"/>
  </sheetPr>
  <dimension ref="A2:AC42"/>
  <sheetViews>
    <sheetView topLeftCell="S25" zoomScaleNormal="100" workbookViewId="0">
      <selection activeCell="D12" sqref="D12"/>
    </sheetView>
  </sheetViews>
  <sheetFormatPr defaultRowHeight="24" customHeight="1"/>
  <cols>
    <col min="1" max="1" width="4.42578125" style="108" customWidth="1"/>
    <col min="2" max="2" width="42" style="18" customWidth="1"/>
    <col min="3" max="3" width="16" style="54" customWidth="1"/>
    <col min="4" max="4" width="17" style="54" customWidth="1"/>
    <col min="5" max="5" width="17.7109375" style="54" customWidth="1"/>
    <col min="6" max="6" width="16.7109375" style="50" customWidth="1"/>
    <col min="7" max="7" width="18" style="50" customWidth="1"/>
    <col min="8" max="8" width="15.42578125" style="50" customWidth="1"/>
    <col min="9" max="10" width="16.140625" style="137" customWidth="1"/>
    <col min="11" max="11" width="15.42578125" style="50" customWidth="1"/>
    <col min="12" max="12" width="13.7109375" style="140" customWidth="1"/>
    <col min="13" max="13" width="19.42578125" style="140" customWidth="1"/>
    <col min="14" max="14" width="14.85546875" style="50" customWidth="1"/>
    <col min="15" max="15" width="16" style="50" customWidth="1"/>
    <col min="16" max="16" width="13.85546875" style="50" customWidth="1"/>
    <col min="17" max="17" width="14.5703125" style="50" customWidth="1"/>
    <col min="18" max="18" width="18.5703125" style="50" customWidth="1"/>
    <col min="19" max="19" width="21" style="50" customWidth="1"/>
    <col min="20" max="20" width="19.42578125" style="50" customWidth="1"/>
    <col min="21" max="21" width="16" style="50" customWidth="1"/>
    <col min="22" max="22" width="19.85546875" style="50" customWidth="1"/>
    <col min="23" max="23" width="15.28515625" style="50" customWidth="1"/>
    <col min="24" max="24" width="12.140625" style="50" customWidth="1"/>
    <col min="25" max="25" width="14.7109375" style="50" customWidth="1"/>
    <col min="26" max="26" width="12.85546875" style="50" customWidth="1"/>
    <col min="27" max="27" width="15.42578125" style="50" customWidth="1"/>
    <col min="28" max="28" width="15.28515625" style="50" customWidth="1"/>
    <col min="29" max="29" width="12.85546875" style="50" customWidth="1"/>
    <col min="30" max="16384" width="9.140625" style="19"/>
  </cols>
  <sheetData>
    <row r="2" spans="1:29" s="145" customFormat="1" ht="21" customHeight="1">
      <c r="A2" s="269" t="s">
        <v>119</v>
      </c>
      <c r="B2" s="269"/>
      <c r="C2" s="268" t="s">
        <v>85</v>
      </c>
      <c r="D2" s="268"/>
      <c r="E2" s="268"/>
      <c r="F2" s="268" t="s">
        <v>86</v>
      </c>
      <c r="G2" s="268"/>
      <c r="H2" s="268"/>
      <c r="I2" s="268" t="s">
        <v>87</v>
      </c>
      <c r="J2" s="268"/>
      <c r="K2" s="268"/>
      <c r="L2" s="268" t="s">
        <v>88</v>
      </c>
      <c r="M2" s="268"/>
      <c r="N2" s="268"/>
      <c r="O2" s="268" t="s">
        <v>89</v>
      </c>
      <c r="P2" s="268"/>
      <c r="Q2" s="268"/>
      <c r="R2" s="268" t="s">
        <v>90</v>
      </c>
      <c r="S2" s="268"/>
      <c r="T2" s="268"/>
      <c r="U2" s="268" t="s">
        <v>91</v>
      </c>
      <c r="V2" s="268"/>
      <c r="W2" s="268"/>
      <c r="X2" s="268" t="s">
        <v>92</v>
      </c>
      <c r="Y2" s="268"/>
      <c r="Z2" s="268"/>
      <c r="AA2" s="268" t="s">
        <v>21</v>
      </c>
      <c r="AB2" s="268"/>
      <c r="AC2" s="268"/>
    </row>
    <row r="3" spans="1:29" ht="37.5" customHeight="1">
      <c r="A3" s="269"/>
      <c r="B3" s="269"/>
      <c r="C3" s="48" t="s">
        <v>74</v>
      </c>
      <c r="D3" s="48" t="s">
        <v>73</v>
      </c>
      <c r="E3" s="48" t="s">
        <v>72</v>
      </c>
      <c r="F3" s="48" t="s">
        <v>74</v>
      </c>
      <c r="G3" s="48" t="s">
        <v>73</v>
      </c>
      <c r="H3" s="48" t="s">
        <v>72</v>
      </c>
      <c r="I3" s="132" t="s">
        <v>74</v>
      </c>
      <c r="J3" s="132" t="s">
        <v>73</v>
      </c>
      <c r="K3" s="48" t="s">
        <v>72</v>
      </c>
      <c r="L3" s="48" t="s">
        <v>74</v>
      </c>
      <c r="M3" s="48" t="s">
        <v>73</v>
      </c>
      <c r="N3" s="48" t="s">
        <v>72</v>
      </c>
      <c r="O3" s="48" t="s">
        <v>74</v>
      </c>
      <c r="P3" s="48" t="s">
        <v>73</v>
      </c>
      <c r="Q3" s="48" t="s">
        <v>72</v>
      </c>
      <c r="R3" s="48" t="s">
        <v>74</v>
      </c>
      <c r="S3" s="48" t="s">
        <v>73</v>
      </c>
      <c r="T3" s="48" t="s">
        <v>72</v>
      </c>
      <c r="U3" s="48" t="s">
        <v>74</v>
      </c>
      <c r="V3" s="48" t="s">
        <v>73</v>
      </c>
      <c r="W3" s="48" t="s">
        <v>72</v>
      </c>
      <c r="X3" s="48" t="s">
        <v>74</v>
      </c>
      <c r="Y3" s="48" t="s">
        <v>73</v>
      </c>
      <c r="Z3" s="48" t="s">
        <v>72</v>
      </c>
      <c r="AA3" s="48" t="s">
        <v>74</v>
      </c>
      <c r="AB3" s="48" t="s">
        <v>73</v>
      </c>
      <c r="AC3" s="48" t="s">
        <v>72</v>
      </c>
    </row>
    <row r="4" spans="1:29" ht="26.25" customHeight="1">
      <c r="A4" s="109">
        <v>1</v>
      </c>
      <c r="B4" s="20" t="s">
        <v>70</v>
      </c>
      <c r="C4" s="30">
        <v>58004.728999999999</v>
      </c>
      <c r="D4" s="31">
        <v>79018.2</v>
      </c>
      <c r="E4" s="31"/>
      <c r="F4" s="44">
        <v>38300</v>
      </c>
      <c r="G4" s="44">
        <v>49000</v>
      </c>
      <c r="H4" s="31"/>
      <c r="I4" s="123">
        <v>30307.8</v>
      </c>
      <c r="J4" s="123">
        <v>40450</v>
      </c>
      <c r="K4" s="45"/>
      <c r="L4" s="45">
        <v>29718.7</v>
      </c>
      <c r="M4" s="45">
        <v>37135</v>
      </c>
      <c r="N4" s="31"/>
      <c r="O4" s="30">
        <v>15468.8</v>
      </c>
      <c r="P4" s="31">
        <v>16680</v>
      </c>
      <c r="Q4" s="31"/>
      <c r="R4" s="30">
        <v>22618</v>
      </c>
      <c r="S4" s="31">
        <v>32173.200000000001</v>
      </c>
      <c r="T4" s="31"/>
      <c r="U4" s="30">
        <v>48702.741000000002</v>
      </c>
      <c r="V4" s="31">
        <v>36355.696000000004</v>
      </c>
      <c r="W4" s="31"/>
      <c r="X4" s="30">
        <v>24767.806</v>
      </c>
      <c r="Y4" s="31">
        <v>36099.998</v>
      </c>
      <c r="Z4" s="31"/>
      <c r="AA4" s="30">
        <f t="shared" ref="AA4:AC19" si="0">+C4+F4+I4+L4+O4+R4+U4+X4</f>
        <v>267888.576</v>
      </c>
      <c r="AB4" s="30">
        <f t="shared" si="0"/>
        <v>326912.09400000004</v>
      </c>
      <c r="AC4" s="30">
        <f t="shared" si="0"/>
        <v>0</v>
      </c>
    </row>
    <row r="5" spans="1:29" ht="34.5" customHeight="1">
      <c r="A5" s="109">
        <v>2</v>
      </c>
      <c r="B5" s="21" t="s">
        <v>15</v>
      </c>
      <c r="C5" s="30">
        <v>3780.3290000000002</v>
      </c>
      <c r="D5" s="36">
        <v>11126.2</v>
      </c>
      <c r="E5" s="36"/>
      <c r="F5" s="44">
        <v>3800</v>
      </c>
      <c r="G5" s="44">
        <v>7448</v>
      </c>
      <c r="H5" s="36"/>
      <c r="I5" s="123">
        <v>1000.8</v>
      </c>
      <c r="J5" s="123">
        <v>1700</v>
      </c>
      <c r="K5" s="45"/>
      <c r="L5" s="31">
        <v>6766.9</v>
      </c>
      <c r="M5" s="36">
        <v>4180</v>
      </c>
      <c r="N5" s="36"/>
      <c r="O5" s="30">
        <v>11761.7</v>
      </c>
      <c r="P5" s="36">
        <v>1400</v>
      </c>
      <c r="Q5" s="36"/>
      <c r="R5" s="30">
        <v>45454</v>
      </c>
      <c r="S5" s="36">
        <v>66475.899999999994</v>
      </c>
      <c r="T5" s="36"/>
      <c r="U5" s="30"/>
      <c r="V5" s="36"/>
      <c r="W5" s="36"/>
      <c r="X5" s="30">
        <v>3634.3719999999998</v>
      </c>
      <c r="Y5" s="36">
        <v>2685.6</v>
      </c>
      <c r="Z5" s="36"/>
      <c r="AA5" s="30">
        <f t="shared" si="0"/>
        <v>76198.100999999995</v>
      </c>
      <c r="AB5" s="30">
        <f t="shared" si="0"/>
        <v>95015.7</v>
      </c>
      <c r="AC5" s="30">
        <f t="shared" si="0"/>
        <v>0</v>
      </c>
    </row>
    <row r="6" spans="1:29" ht="34.5" customHeight="1">
      <c r="A6" s="109">
        <v>3</v>
      </c>
      <c r="B6" s="21" t="s">
        <v>93</v>
      </c>
      <c r="C6" s="30"/>
      <c r="D6" s="36"/>
      <c r="E6" s="36"/>
      <c r="F6" s="44">
        <v>400</v>
      </c>
      <c r="G6" s="44">
        <v>400</v>
      </c>
      <c r="H6" s="36"/>
      <c r="I6" s="123">
        <v>0</v>
      </c>
      <c r="J6" s="123">
        <v>2000</v>
      </c>
      <c r="K6" s="55"/>
      <c r="L6" s="30"/>
      <c r="M6" s="36"/>
      <c r="N6" s="36"/>
      <c r="O6" s="30"/>
      <c r="P6" s="36"/>
      <c r="Q6" s="36"/>
      <c r="R6" s="30"/>
      <c r="S6" s="36"/>
      <c r="T6" s="36"/>
      <c r="U6" s="30"/>
      <c r="V6" s="36"/>
      <c r="W6" s="36"/>
      <c r="X6" s="30"/>
      <c r="Y6" s="36"/>
      <c r="Z6" s="36"/>
      <c r="AA6" s="30">
        <f t="shared" si="0"/>
        <v>400</v>
      </c>
      <c r="AB6" s="30">
        <f t="shared" si="0"/>
        <v>2400</v>
      </c>
      <c r="AC6" s="30">
        <f t="shared" ref="AC6:AC19" si="1">+E6+H6+K6+N6+Q6+T6+W6+Z6</f>
        <v>0</v>
      </c>
    </row>
    <row r="7" spans="1:29" ht="34.5" customHeight="1">
      <c r="A7" s="109">
        <v>4</v>
      </c>
      <c r="B7" s="21" t="s">
        <v>94</v>
      </c>
      <c r="C7" s="30"/>
      <c r="D7" s="36"/>
      <c r="E7" s="36"/>
      <c r="F7" s="44">
        <v>1200</v>
      </c>
      <c r="G7" s="44">
        <v>1200</v>
      </c>
      <c r="H7" s="36"/>
      <c r="I7" s="123">
        <v>600</v>
      </c>
      <c r="J7" s="123">
        <v>650</v>
      </c>
      <c r="K7" s="55"/>
      <c r="L7" s="45">
        <v>600</v>
      </c>
      <c r="M7" s="45">
        <v>600</v>
      </c>
      <c r="N7" s="36"/>
      <c r="O7" s="30">
        <v>541.9</v>
      </c>
      <c r="P7" s="36">
        <v>550</v>
      </c>
      <c r="Q7" s="36"/>
      <c r="R7" s="30"/>
      <c r="S7" s="36"/>
      <c r="T7" s="36"/>
      <c r="U7" s="30">
        <v>538.16999999999996</v>
      </c>
      <c r="V7" s="36">
        <v>550</v>
      </c>
      <c r="W7" s="36"/>
      <c r="X7" s="30">
        <v>541.5</v>
      </c>
      <c r="Y7" s="36">
        <v>541.5</v>
      </c>
      <c r="Z7" s="36"/>
      <c r="AA7" s="30">
        <f t="shared" si="0"/>
        <v>4021.57</v>
      </c>
      <c r="AB7" s="30">
        <f t="shared" si="0"/>
        <v>4091.5</v>
      </c>
      <c r="AC7" s="30">
        <f t="shared" si="1"/>
        <v>0</v>
      </c>
    </row>
    <row r="8" spans="1:29" ht="34.5" customHeight="1">
      <c r="A8" s="109">
        <v>5</v>
      </c>
      <c r="B8" s="21" t="s">
        <v>124</v>
      </c>
      <c r="C8" s="30"/>
      <c r="D8" s="36"/>
      <c r="E8" s="36"/>
      <c r="F8" s="44"/>
      <c r="G8" s="44"/>
      <c r="H8" s="36"/>
      <c r="I8" s="123"/>
      <c r="J8" s="123"/>
      <c r="K8" s="55"/>
      <c r="L8" s="45"/>
      <c r="M8" s="45"/>
      <c r="N8" s="36"/>
      <c r="O8" s="30"/>
      <c r="P8" s="36"/>
      <c r="Q8" s="36"/>
      <c r="R8" s="30"/>
      <c r="S8" s="36"/>
      <c r="T8" s="36"/>
      <c r="U8" s="30">
        <v>7508.24</v>
      </c>
      <c r="V8" s="36">
        <v>5749.9979999999996</v>
      </c>
      <c r="W8" s="36"/>
      <c r="X8" s="30"/>
      <c r="Y8" s="36"/>
      <c r="Z8" s="36"/>
      <c r="AA8" s="30">
        <f t="shared" si="0"/>
        <v>7508.24</v>
      </c>
      <c r="AB8" s="30">
        <f t="shared" si="0"/>
        <v>5749.9979999999996</v>
      </c>
      <c r="AC8" s="30">
        <f t="shared" si="1"/>
        <v>0</v>
      </c>
    </row>
    <row r="9" spans="1:29" ht="34.5" customHeight="1">
      <c r="A9" s="109">
        <v>6</v>
      </c>
      <c r="B9" s="21" t="s">
        <v>95</v>
      </c>
      <c r="C9" s="30"/>
      <c r="D9" s="36"/>
      <c r="E9" s="36"/>
      <c r="F9" s="44"/>
      <c r="G9" s="44">
        <v>2000</v>
      </c>
      <c r="H9" s="36"/>
      <c r="I9" s="123">
        <v>163</v>
      </c>
      <c r="J9" s="123">
        <v>1000</v>
      </c>
      <c r="K9" s="45"/>
      <c r="L9" s="30"/>
      <c r="M9" s="36"/>
      <c r="N9" s="36"/>
      <c r="O9" s="30">
        <v>300</v>
      </c>
      <c r="P9" s="36"/>
      <c r="Q9" s="36"/>
      <c r="R9" s="30"/>
      <c r="S9" s="36"/>
      <c r="T9" s="36"/>
      <c r="U9" s="30"/>
      <c r="V9" s="36"/>
      <c r="W9" s="36"/>
      <c r="X9" s="30"/>
      <c r="Y9" s="36">
        <v>170</v>
      </c>
      <c r="Z9" s="36"/>
      <c r="AA9" s="30">
        <f t="shared" si="0"/>
        <v>463</v>
      </c>
      <c r="AB9" s="30">
        <f t="shared" si="0"/>
        <v>3170</v>
      </c>
      <c r="AC9" s="30">
        <f t="shared" si="1"/>
        <v>0</v>
      </c>
    </row>
    <row r="10" spans="1:29" ht="34.5" customHeight="1">
      <c r="A10" s="109">
        <v>7</v>
      </c>
      <c r="B10" s="21" t="s">
        <v>125</v>
      </c>
      <c r="C10" s="30"/>
      <c r="D10" s="36"/>
      <c r="E10" s="36"/>
      <c r="F10" s="44"/>
      <c r="G10" s="44"/>
      <c r="H10" s="36"/>
      <c r="I10" s="123"/>
      <c r="J10" s="123"/>
      <c r="K10" s="45"/>
      <c r="L10" s="30"/>
      <c r="M10" s="36"/>
      <c r="N10" s="36"/>
      <c r="O10" s="30"/>
      <c r="P10" s="36"/>
      <c r="Q10" s="36"/>
      <c r="R10" s="30"/>
      <c r="S10" s="36"/>
      <c r="T10" s="36"/>
      <c r="U10" s="30">
        <v>1321.44</v>
      </c>
      <c r="V10" s="36"/>
      <c r="W10" s="36"/>
      <c r="X10" s="30"/>
      <c r="Y10" s="36"/>
      <c r="Z10" s="36"/>
      <c r="AA10" s="30">
        <f t="shared" si="0"/>
        <v>1321.44</v>
      </c>
      <c r="AB10" s="30">
        <f t="shared" si="0"/>
        <v>0</v>
      </c>
      <c r="AC10" s="30">
        <f t="shared" si="1"/>
        <v>0</v>
      </c>
    </row>
    <row r="11" spans="1:29" ht="24" customHeight="1">
      <c r="A11" s="109">
        <v>8</v>
      </c>
      <c r="B11" s="21" t="s">
        <v>102</v>
      </c>
      <c r="C11" s="30">
        <v>56049.993000000002</v>
      </c>
      <c r="D11" s="36">
        <v>73075.600000000006</v>
      </c>
      <c r="E11" s="36"/>
      <c r="F11" s="44">
        <v>7275</v>
      </c>
      <c r="G11" s="44">
        <v>7068</v>
      </c>
      <c r="H11" s="36"/>
      <c r="I11" s="123">
        <v>1920</v>
      </c>
      <c r="J11" s="123">
        <v>1920</v>
      </c>
      <c r="K11" s="45"/>
      <c r="L11" s="45">
        <v>1700</v>
      </c>
      <c r="M11" s="45">
        <v>1700</v>
      </c>
      <c r="N11" s="36"/>
      <c r="O11" s="30">
        <v>1380</v>
      </c>
      <c r="P11" s="36">
        <v>1500</v>
      </c>
      <c r="Q11" s="36"/>
      <c r="R11" s="30">
        <v>3000</v>
      </c>
      <c r="S11" s="36">
        <v>3550</v>
      </c>
      <c r="T11" s="36"/>
      <c r="U11" s="30">
        <v>1320.4590000000001</v>
      </c>
      <c r="V11" s="36">
        <v>1320</v>
      </c>
      <c r="W11" s="36"/>
      <c r="X11" s="30">
        <v>1600</v>
      </c>
      <c r="Y11" s="36">
        <v>1600</v>
      </c>
      <c r="Z11" s="36"/>
      <c r="AA11" s="30">
        <f t="shared" si="0"/>
        <v>74245.452000000005</v>
      </c>
      <c r="AB11" s="30">
        <f t="shared" si="0"/>
        <v>91733.6</v>
      </c>
      <c r="AC11" s="30">
        <f t="shared" si="1"/>
        <v>0</v>
      </c>
    </row>
    <row r="12" spans="1:29" ht="24" customHeight="1">
      <c r="A12" s="109">
        <v>9</v>
      </c>
      <c r="B12" s="21" t="s">
        <v>78</v>
      </c>
      <c r="C12" s="30">
        <v>1565</v>
      </c>
      <c r="D12" s="36">
        <v>3000</v>
      </c>
      <c r="E12" s="40"/>
      <c r="F12" s="44">
        <v>1112</v>
      </c>
      <c r="G12" s="44">
        <v>1320</v>
      </c>
      <c r="H12" s="36"/>
      <c r="I12" s="67"/>
      <c r="J12" s="130"/>
      <c r="K12" s="36"/>
      <c r="L12" s="30"/>
      <c r="M12" s="36"/>
      <c r="N12" s="36"/>
      <c r="O12" s="30"/>
      <c r="P12" s="36"/>
      <c r="Q12" s="36"/>
      <c r="R12" s="30"/>
      <c r="S12" s="36"/>
      <c r="T12" s="36"/>
      <c r="U12" s="30"/>
      <c r="V12" s="36"/>
      <c r="W12" s="36"/>
      <c r="X12" s="30"/>
      <c r="Y12" s="36"/>
      <c r="Z12" s="36"/>
      <c r="AA12" s="30">
        <f t="shared" si="0"/>
        <v>2677</v>
      </c>
      <c r="AB12" s="30">
        <f t="shared" si="0"/>
        <v>4320</v>
      </c>
      <c r="AC12" s="30">
        <f t="shared" si="1"/>
        <v>0</v>
      </c>
    </row>
    <row r="13" spans="1:29" ht="24" customHeight="1">
      <c r="A13" s="109">
        <v>10</v>
      </c>
      <c r="B13" s="21" t="s">
        <v>79</v>
      </c>
      <c r="C13" s="30">
        <v>0</v>
      </c>
      <c r="D13" s="36">
        <v>2000</v>
      </c>
      <c r="E13" s="40"/>
      <c r="F13" s="44">
        <v>1550</v>
      </c>
      <c r="G13" s="44">
        <v>3380</v>
      </c>
      <c r="H13" s="36"/>
      <c r="I13" s="123">
        <v>1022.2</v>
      </c>
      <c r="J13" s="123">
        <v>1000</v>
      </c>
      <c r="K13" s="45"/>
      <c r="L13" s="30"/>
      <c r="M13" s="36"/>
      <c r="N13" s="36"/>
      <c r="O13" s="30"/>
      <c r="P13" s="36"/>
      <c r="Q13" s="36"/>
      <c r="R13" s="30"/>
      <c r="S13" s="36"/>
      <c r="T13" s="36"/>
      <c r="U13" s="30">
        <v>2147.9949999999999</v>
      </c>
      <c r="V13" s="36">
        <v>2350</v>
      </c>
      <c r="W13" s="36"/>
      <c r="X13" s="30">
        <v>1048.9000000000001</v>
      </c>
      <c r="Y13" s="36">
        <v>1400</v>
      </c>
      <c r="Z13" s="36"/>
      <c r="AA13" s="30">
        <f t="shared" si="0"/>
        <v>5769.0949999999993</v>
      </c>
      <c r="AB13" s="30">
        <f t="shared" si="0"/>
        <v>10130</v>
      </c>
      <c r="AC13" s="30">
        <f t="shared" si="1"/>
        <v>0</v>
      </c>
    </row>
    <row r="14" spans="1:29" ht="24" customHeight="1">
      <c r="A14" s="109">
        <v>11</v>
      </c>
      <c r="B14" s="56" t="s">
        <v>108</v>
      </c>
      <c r="C14" s="30"/>
      <c r="D14" s="36"/>
      <c r="E14" s="40"/>
      <c r="F14" s="44"/>
      <c r="G14" s="44"/>
      <c r="H14" s="36"/>
      <c r="I14" s="123">
        <v>795</v>
      </c>
      <c r="J14" s="123">
        <v>1000</v>
      </c>
      <c r="K14" s="55"/>
      <c r="L14" s="30"/>
      <c r="M14" s="36"/>
      <c r="N14" s="36"/>
      <c r="O14" s="30"/>
      <c r="P14" s="36"/>
      <c r="Q14" s="36"/>
      <c r="R14" s="30"/>
      <c r="S14" s="36"/>
      <c r="T14" s="36"/>
      <c r="U14" s="30"/>
      <c r="V14" s="36"/>
      <c r="W14" s="36"/>
      <c r="X14" s="30"/>
      <c r="Y14" s="36"/>
      <c r="Z14" s="36"/>
      <c r="AA14" s="30">
        <f t="shared" si="0"/>
        <v>795</v>
      </c>
      <c r="AB14" s="30">
        <f t="shared" si="0"/>
        <v>1000</v>
      </c>
      <c r="AC14" s="30">
        <f t="shared" si="1"/>
        <v>0</v>
      </c>
    </row>
    <row r="15" spans="1:29" ht="24" customHeight="1">
      <c r="A15" s="109">
        <v>12</v>
      </c>
      <c r="B15" s="21" t="s">
        <v>80</v>
      </c>
      <c r="C15" s="30">
        <v>3676.1320000000001</v>
      </c>
      <c r="D15" s="36">
        <v>0</v>
      </c>
      <c r="E15" s="36"/>
      <c r="F15" s="30"/>
      <c r="G15" s="36"/>
      <c r="H15" s="36"/>
      <c r="I15" s="123">
        <v>0</v>
      </c>
      <c r="J15" s="123">
        <v>500</v>
      </c>
      <c r="K15" s="55"/>
      <c r="L15" s="30"/>
      <c r="M15" s="36"/>
      <c r="N15" s="36"/>
      <c r="O15" s="30"/>
      <c r="P15" s="36"/>
      <c r="Q15" s="36"/>
      <c r="R15" s="30"/>
      <c r="S15" s="36"/>
      <c r="T15" s="36"/>
      <c r="U15" s="30"/>
      <c r="V15" s="36">
        <v>1280.25</v>
      </c>
      <c r="W15" s="36"/>
      <c r="X15" s="30"/>
      <c r="Y15" s="36"/>
      <c r="Z15" s="36"/>
      <c r="AA15" s="30">
        <f t="shared" si="0"/>
        <v>3676.1320000000001</v>
      </c>
      <c r="AB15" s="30">
        <f t="shared" si="0"/>
        <v>1780.25</v>
      </c>
      <c r="AC15" s="30">
        <f t="shared" si="1"/>
        <v>0</v>
      </c>
    </row>
    <row r="16" spans="1:29" ht="24" customHeight="1">
      <c r="A16" s="109">
        <v>13</v>
      </c>
      <c r="B16" s="21" t="s">
        <v>97</v>
      </c>
      <c r="C16" s="30"/>
      <c r="D16" s="36"/>
      <c r="E16" s="36"/>
      <c r="F16" s="30"/>
      <c r="G16" s="44">
        <v>500</v>
      </c>
      <c r="H16" s="36"/>
      <c r="I16" s="123">
        <v>150</v>
      </c>
      <c r="J16" s="123">
        <v>200</v>
      </c>
      <c r="K16" s="45"/>
      <c r="L16" s="30"/>
      <c r="M16" s="36"/>
      <c r="N16" s="36"/>
      <c r="O16" s="30"/>
      <c r="P16" s="36"/>
      <c r="Q16" s="36"/>
      <c r="R16" s="30"/>
      <c r="S16" s="36"/>
      <c r="T16" s="36"/>
      <c r="U16" s="30"/>
      <c r="V16" s="36"/>
      <c r="W16" s="36"/>
      <c r="X16" s="30"/>
      <c r="Y16" s="36"/>
      <c r="Z16" s="36"/>
      <c r="AA16" s="30">
        <f t="shared" si="0"/>
        <v>150</v>
      </c>
      <c r="AB16" s="30">
        <f t="shared" si="0"/>
        <v>700</v>
      </c>
      <c r="AC16" s="30">
        <f t="shared" si="1"/>
        <v>0</v>
      </c>
    </row>
    <row r="17" spans="1:29" ht="24" customHeight="1">
      <c r="A17" s="109">
        <v>14</v>
      </c>
      <c r="B17" s="21" t="s">
        <v>103</v>
      </c>
      <c r="C17" s="30"/>
      <c r="D17" s="36"/>
      <c r="E17" s="36"/>
      <c r="F17" s="30"/>
      <c r="G17" s="44"/>
      <c r="H17" s="36"/>
      <c r="I17" s="67"/>
      <c r="J17" s="130"/>
      <c r="K17" s="36"/>
      <c r="L17" s="45">
        <v>48</v>
      </c>
      <c r="M17" s="45">
        <v>60</v>
      </c>
      <c r="N17" s="36"/>
      <c r="O17" s="30">
        <v>64</v>
      </c>
      <c r="P17" s="36">
        <v>100</v>
      </c>
      <c r="Q17" s="36"/>
      <c r="R17" s="30"/>
      <c r="S17" s="36"/>
      <c r="T17" s="36"/>
      <c r="U17" s="30"/>
      <c r="V17" s="36"/>
      <c r="W17" s="36"/>
      <c r="X17" s="30"/>
      <c r="Y17" s="36"/>
      <c r="Z17" s="36"/>
      <c r="AA17" s="30">
        <f t="shared" si="0"/>
        <v>112</v>
      </c>
      <c r="AB17" s="30">
        <f t="shared" si="0"/>
        <v>160</v>
      </c>
      <c r="AC17" s="30">
        <f t="shared" si="1"/>
        <v>0</v>
      </c>
    </row>
    <row r="18" spans="1:29" ht="24" customHeight="1">
      <c r="A18" s="109">
        <v>15</v>
      </c>
      <c r="B18" s="21" t="s">
        <v>107</v>
      </c>
      <c r="C18" s="30"/>
      <c r="D18" s="36"/>
      <c r="E18" s="36"/>
      <c r="F18" s="30"/>
      <c r="G18" s="44"/>
      <c r="H18" s="36"/>
      <c r="I18" s="123">
        <v>3237.7</v>
      </c>
      <c r="J18" s="123">
        <v>4300</v>
      </c>
      <c r="K18" s="45"/>
      <c r="L18" s="30">
        <v>19106.5</v>
      </c>
      <c r="M18" s="36"/>
      <c r="N18" s="36"/>
      <c r="O18" s="30"/>
      <c r="P18" s="36"/>
      <c r="Q18" s="36"/>
      <c r="R18" s="30"/>
      <c r="S18" s="36"/>
      <c r="T18" s="36"/>
      <c r="U18" s="30"/>
      <c r="V18" s="36"/>
      <c r="W18" s="36"/>
      <c r="X18" s="30">
        <v>3851.7</v>
      </c>
      <c r="Y18" s="36">
        <v>7232</v>
      </c>
      <c r="Z18" s="36"/>
      <c r="AA18" s="30">
        <f t="shared" si="0"/>
        <v>26195.9</v>
      </c>
      <c r="AB18" s="30">
        <f t="shared" si="0"/>
        <v>11532</v>
      </c>
      <c r="AC18" s="30">
        <f t="shared" si="1"/>
        <v>0</v>
      </c>
    </row>
    <row r="19" spans="1:29" ht="24" customHeight="1">
      <c r="A19" s="109">
        <v>16</v>
      </c>
      <c r="B19" s="21" t="s">
        <v>106</v>
      </c>
      <c r="C19" s="30"/>
      <c r="D19" s="36"/>
      <c r="E19" s="36"/>
      <c r="F19" s="30"/>
      <c r="G19" s="44"/>
      <c r="H19" s="36"/>
      <c r="I19" s="123">
        <v>1154.9000000000001</v>
      </c>
      <c r="J19" s="123">
        <v>1800</v>
      </c>
      <c r="K19" s="45"/>
      <c r="L19" s="45"/>
      <c r="M19" s="45">
        <v>1650</v>
      </c>
      <c r="N19" s="36"/>
      <c r="O19" s="30">
        <v>957.6</v>
      </c>
      <c r="P19" s="36">
        <v>1000</v>
      </c>
      <c r="Q19" s="36"/>
      <c r="R19" s="30"/>
      <c r="S19" s="36"/>
      <c r="T19" s="36"/>
      <c r="U19" s="30">
        <v>362.44</v>
      </c>
      <c r="V19" s="36">
        <v>135.80000000000001</v>
      </c>
      <c r="W19" s="36"/>
      <c r="X19" s="30">
        <v>833.3</v>
      </c>
      <c r="Y19" s="36"/>
      <c r="Z19" s="36"/>
      <c r="AA19" s="30">
        <f t="shared" si="0"/>
        <v>3308.24</v>
      </c>
      <c r="AB19" s="30">
        <f t="shared" si="0"/>
        <v>4585.8</v>
      </c>
      <c r="AC19" s="30">
        <f t="shared" si="1"/>
        <v>0</v>
      </c>
    </row>
    <row r="20" spans="1:29" ht="24" customHeight="1">
      <c r="A20" s="109">
        <v>17</v>
      </c>
      <c r="B20" s="26" t="s">
        <v>65</v>
      </c>
      <c r="C20" s="32">
        <v>19000</v>
      </c>
      <c r="D20" s="36">
        <v>21500</v>
      </c>
      <c r="E20" s="36"/>
      <c r="F20" s="44">
        <v>14478</v>
      </c>
      <c r="G20" s="44">
        <v>14500</v>
      </c>
      <c r="H20" s="36"/>
      <c r="I20" s="124"/>
      <c r="J20" s="124"/>
      <c r="K20" s="36"/>
      <c r="L20" s="32"/>
      <c r="M20" s="36"/>
      <c r="N20" s="36"/>
      <c r="O20" s="32">
        <v>4000</v>
      </c>
      <c r="P20" s="36">
        <v>4500</v>
      </c>
      <c r="Q20" s="36"/>
      <c r="R20" s="32"/>
      <c r="S20" s="36"/>
      <c r="T20" s="36"/>
      <c r="U20" s="32"/>
      <c r="V20" s="36"/>
      <c r="W20" s="36"/>
      <c r="X20" s="32"/>
      <c r="Y20" s="36"/>
      <c r="Z20" s="36"/>
      <c r="AA20" s="30">
        <f t="shared" ref="AA20:AB27" si="2">+C20+F20+I20+L20+O20+R20+U20+X20</f>
        <v>37478</v>
      </c>
      <c r="AB20" s="30">
        <f t="shared" si="2"/>
        <v>40500</v>
      </c>
      <c r="AC20" s="30">
        <f t="shared" ref="AC20:AC33" si="3">+E20+H20+K20+N20+Q20+T20+W20+Z20</f>
        <v>0</v>
      </c>
    </row>
    <row r="21" spans="1:29" ht="24" customHeight="1">
      <c r="A21" s="109">
        <v>18</v>
      </c>
      <c r="B21" s="26" t="s">
        <v>98</v>
      </c>
      <c r="C21" s="32"/>
      <c r="D21" s="36"/>
      <c r="E21" s="36"/>
      <c r="F21" s="44">
        <v>900</v>
      </c>
      <c r="G21" s="44">
        <v>900</v>
      </c>
      <c r="H21" s="36"/>
      <c r="I21" s="66"/>
      <c r="J21" s="130"/>
      <c r="K21" s="36"/>
      <c r="L21" s="32"/>
      <c r="M21" s="36"/>
      <c r="N21" s="36"/>
      <c r="O21" s="32"/>
      <c r="P21" s="36"/>
      <c r="Q21" s="36"/>
      <c r="R21" s="32"/>
      <c r="S21" s="36"/>
      <c r="T21" s="36"/>
      <c r="U21" s="32"/>
      <c r="V21" s="36"/>
      <c r="W21" s="36"/>
      <c r="X21" s="32"/>
      <c r="Y21" s="36"/>
      <c r="Z21" s="36"/>
      <c r="AA21" s="30">
        <f t="shared" si="2"/>
        <v>900</v>
      </c>
      <c r="AB21" s="30">
        <f t="shared" si="2"/>
        <v>900</v>
      </c>
      <c r="AC21" s="30">
        <f t="shared" si="3"/>
        <v>0</v>
      </c>
    </row>
    <row r="22" spans="1:29" s="157" customFormat="1" ht="24" customHeight="1">
      <c r="A22" s="149">
        <v>19</v>
      </c>
      <c r="B22" s="150" t="s">
        <v>96</v>
      </c>
      <c r="C22" s="151">
        <v>52800</v>
      </c>
      <c r="D22" s="152">
        <v>66300</v>
      </c>
      <c r="E22" s="152"/>
      <c r="F22" s="153">
        <v>37000</v>
      </c>
      <c r="G22" s="153">
        <v>35000</v>
      </c>
      <c r="H22" s="152"/>
      <c r="I22" s="154">
        <v>20400.400000000001</v>
      </c>
      <c r="J22" s="154">
        <v>33000</v>
      </c>
      <c r="K22" s="155"/>
      <c r="L22" s="155">
        <v>20841.400000000001</v>
      </c>
      <c r="M22" s="155">
        <v>21000</v>
      </c>
      <c r="N22" s="152"/>
      <c r="O22" s="151">
        <v>13200</v>
      </c>
      <c r="P22" s="152">
        <v>19500</v>
      </c>
      <c r="Q22" s="152"/>
      <c r="R22" s="151">
        <v>13305.3</v>
      </c>
      <c r="S22" s="152">
        <v>24500</v>
      </c>
      <c r="T22" s="152"/>
      <c r="U22" s="151">
        <v>15000</v>
      </c>
      <c r="V22" s="152">
        <v>9080.6290000000008</v>
      </c>
      <c r="W22" s="152"/>
      <c r="X22" s="151">
        <v>3630</v>
      </c>
      <c r="Y22" s="152">
        <v>102328.719</v>
      </c>
      <c r="Z22" s="152"/>
      <c r="AA22" s="156">
        <f t="shared" si="2"/>
        <v>176177.09999999998</v>
      </c>
      <c r="AB22" s="156">
        <f t="shared" si="2"/>
        <v>310709.348</v>
      </c>
      <c r="AC22" s="156">
        <f t="shared" si="3"/>
        <v>0</v>
      </c>
    </row>
    <row r="23" spans="1:29" ht="24" customHeight="1">
      <c r="A23" s="109">
        <v>20</v>
      </c>
      <c r="B23" s="57" t="s">
        <v>99</v>
      </c>
      <c r="C23" s="36"/>
      <c r="D23" s="31"/>
      <c r="E23" s="31"/>
      <c r="F23" s="44">
        <v>950</v>
      </c>
      <c r="G23" s="44">
        <v>1000</v>
      </c>
      <c r="H23" s="31"/>
      <c r="I23" s="130"/>
      <c r="J23" s="124"/>
      <c r="K23" s="31"/>
      <c r="L23" s="36"/>
      <c r="M23" s="31"/>
      <c r="N23" s="31"/>
      <c r="O23" s="36"/>
      <c r="P23" s="31"/>
      <c r="Q23" s="31"/>
      <c r="R23" s="36"/>
      <c r="S23" s="31"/>
      <c r="T23" s="31"/>
      <c r="U23" s="36"/>
      <c r="V23" s="31"/>
      <c r="W23" s="31"/>
      <c r="X23" s="36"/>
      <c r="Y23" s="31"/>
      <c r="Z23" s="31"/>
      <c r="AA23" s="30">
        <f t="shared" si="2"/>
        <v>950</v>
      </c>
      <c r="AB23" s="30">
        <f t="shared" si="2"/>
        <v>1000</v>
      </c>
      <c r="AC23" s="30">
        <f t="shared" si="3"/>
        <v>0</v>
      </c>
    </row>
    <row r="24" spans="1:29" ht="24" customHeight="1">
      <c r="A24" s="271">
        <v>21</v>
      </c>
      <c r="B24" s="272" t="s">
        <v>66</v>
      </c>
      <c r="C24" s="37">
        <v>34865.699999999997</v>
      </c>
      <c r="D24" s="37">
        <v>44477.75</v>
      </c>
      <c r="E24" s="37"/>
      <c r="F24" s="37"/>
      <c r="G24" s="36"/>
      <c r="H24" s="36"/>
      <c r="I24" s="129"/>
      <c r="J24" s="130"/>
      <c r="K24" s="36"/>
      <c r="L24" s="37"/>
      <c r="M24" s="36"/>
      <c r="N24" s="36"/>
      <c r="O24" s="37"/>
      <c r="P24" s="36"/>
      <c r="Q24" s="36"/>
      <c r="R24" s="37"/>
      <c r="S24" s="36"/>
      <c r="T24" s="36"/>
      <c r="U24" s="37"/>
      <c r="V24" s="36"/>
      <c r="W24" s="36"/>
      <c r="X24" s="37"/>
      <c r="Y24" s="36"/>
      <c r="Z24" s="36"/>
      <c r="AA24" s="30">
        <f t="shared" si="2"/>
        <v>34865.699999999997</v>
      </c>
      <c r="AB24" s="30">
        <f t="shared" si="2"/>
        <v>44477.75</v>
      </c>
      <c r="AC24" s="30">
        <f t="shared" si="3"/>
        <v>0</v>
      </c>
    </row>
    <row r="25" spans="1:29" ht="24" customHeight="1">
      <c r="A25" s="271"/>
      <c r="B25" s="272"/>
      <c r="C25" s="33">
        <v>10968.6</v>
      </c>
      <c r="D25" s="33">
        <v>5122.25</v>
      </c>
      <c r="E25" s="33"/>
      <c r="F25" s="33"/>
      <c r="G25" s="33"/>
      <c r="H25" s="34"/>
      <c r="I25" s="65"/>
      <c r="J25" s="65"/>
      <c r="K25" s="34"/>
      <c r="L25" s="33"/>
      <c r="M25" s="33"/>
      <c r="N25" s="34"/>
      <c r="O25" s="33"/>
      <c r="P25" s="33"/>
      <c r="Q25" s="34"/>
      <c r="R25" s="33"/>
      <c r="S25" s="33"/>
      <c r="T25" s="34"/>
      <c r="U25" s="33"/>
      <c r="V25" s="33"/>
      <c r="W25" s="34"/>
      <c r="X25" s="33"/>
      <c r="Y25" s="33"/>
      <c r="Z25" s="34"/>
      <c r="AA25" s="30">
        <f t="shared" si="2"/>
        <v>10968.6</v>
      </c>
      <c r="AB25" s="30">
        <f t="shared" si="2"/>
        <v>5122.25</v>
      </c>
      <c r="AC25" s="30">
        <f t="shared" si="3"/>
        <v>0</v>
      </c>
    </row>
    <row r="26" spans="1:29" ht="24" customHeight="1">
      <c r="A26" s="110">
        <v>22</v>
      </c>
      <c r="B26" s="21" t="s">
        <v>77</v>
      </c>
      <c r="C26" s="38">
        <v>3945.2</v>
      </c>
      <c r="D26" s="36">
        <v>6000</v>
      </c>
      <c r="E26" s="37"/>
      <c r="F26" s="44">
        <v>6000</v>
      </c>
      <c r="G26" s="44">
        <v>7000</v>
      </c>
      <c r="H26" s="36"/>
      <c r="I26" s="123">
        <v>5113.7</v>
      </c>
      <c r="J26" s="123">
        <v>5500</v>
      </c>
      <c r="K26" s="45"/>
      <c r="L26" s="45">
        <v>2880</v>
      </c>
      <c r="M26" s="45">
        <v>3000</v>
      </c>
      <c r="N26" s="36"/>
      <c r="O26" s="38">
        <v>335</v>
      </c>
      <c r="P26" s="36">
        <v>500</v>
      </c>
      <c r="Q26" s="36"/>
      <c r="R26" s="38">
        <v>3840</v>
      </c>
      <c r="S26" s="36">
        <v>7040</v>
      </c>
      <c r="T26" s="36"/>
      <c r="U26" s="38">
        <v>990</v>
      </c>
      <c r="V26" s="36">
        <v>1520</v>
      </c>
      <c r="W26" s="36"/>
      <c r="X26" s="38">
        <v>1130</v>
      </c>
      <c r="Y26" s="36">
        <v>2360</v>
      </c>
      <c r="Z26" s="36"/>
      <c r="AA26" s="30">
        <f t="shared" si="2"/>
        <v>24233.9</v>
      </c>
      <c r="AB26" s="30">
        <f t="shared" si="2"/>
        <v>32920</v>
      </c>
      <c r="AC26" s="30">
        <f t="shared" si="3"/>
        <v>0</v>
      </c>
    </row>
    <row r="27" spans="1:29" ht="24" customHeight="1">
      <c r="A27" s="110">
        <v>23</v>
      </c>
      <c r="B27" s="21" t="s">
        <v>16</v>
      </c>
      <c r="C27" s="39">
        <v>0</v>
      </c>
      <c r="D27" s="36">
        <v>8380</v>
      </c>
      <c r="E27" s="36"/>
      <c r="F27" s="44">
        <v>6541.5</v>
      </c>
      <c r="G27" s="44">
        <v>8045.8</v>
      </c>
      <c r="H27" s="36"/>
      <c r="I27" s="123">
        <v>0</v>
      </c>
      <c r="J27" s="123">
        <v>1864</v>
      </c>
      <c r="K27" s="45"/>
      <c r="L27" s="45">
        <v>0</v>
      </c>
      <c r="M27" s="45">
        <v>12656.9</v>
      </c>
      <c r="N27" s="36"/>
      <c r="O27" s="39">
        <v>0</v>
      </c>
      <c r="P27" s="36">
        <v>7898.5</v>
      </c>
      <c r="Q27" s="36"/>
      <c r="R27" s="39"/>
      <c r="S27" s="36"/>
      <c r="T27" s="36"/>
      <c r="U27" s="39"/>
      <c r="V27" s="36"/>
      <c r="W27" s="36"/>
      <c r="X27" s="39"/>
      <c r="Y27" s="36">
        <v>890.1</v>
      </c>
      <c r="Z27" s="36"/>
      <c r="AA27" s="30">
        <f t="shared" si="2"/>
        <v>6541.5</v>
      </c>
      <c r="AB27" s="30">
        <f t="shared" si="2"/>
        <v>39735.299999999996</v>
      </c>
      <c r="AC27" s="30">
        <f t="shared" si="3"/>
        <v>0</v>
      </c>
    </row>
    <row r="28" spans="1:29" ht="24" customHeight="1">
      <c r="A28" s="111"/>
      <c r="B28" s="59" t="s">
        <v>21</v>
      </c>
      <c r="C28" s="60">
        <f t="shared" ref="C28:AC28" si="4">SUM(C4:C27)</f>
        <v>244655.68300000005</v>
      </c>
      <c r="D28" s="60">
        <f t="shared" si="4"/>
        <v>320000</v>
      </c>
      <c r="E28" s="60">
        <f t="shared" si="4"/>
        <v>0</v>
      </c>
      <c r="F28" s="60">
        <f t="shared" si="4"/>
        <v>119506.5</v>
      </c>
      <c r="G28" s="60">
        <f t="shared" si="4"/>
        <v>138761.79999999999</v>
      </c>
      <c r="H28" s="60">
        <f t="shared" si="4"/>
        <v>0</v>
      </c>
      <c r="I28" s="133">
        <f t="shared" si="4"/>
        <v>65865.5</v>
      </c>
      <c r="J28" s="133">
        <f t="shared" si="4"/>
        <v>96884</v>
      </c>
      <c r="K28" s="60">
        <f t="shared" si="4"/>
        <v>0</v>
      </c>
      <c r="L28" s="60">
        <f t="shared" si="4"/>
        <v>81661.5</v>
      </c>
      <c r="M28" s="60">
        <f t="shared" si="4"/>
        <v>81981.899999999994</v>
      </c>
      <c r="N28" s="60">
        <f t="shared" si="4"/>
        <v>0</v>
      </c>
      <c r="O28" s="60">
        <f t="shared" si="4"/>
        <v>48009</v>
      </c>
      <c r="P28" s="60">
        <f t="shared" si="4"/>
        <v>53628.5</v>
      </c>
      <c r="Q28" s="60">
        <f t="shared" si="4"/>
        <v>0</v>
      </c>
      <c r="R28" s="60">
        <f t="shared" si="4"/>
        <v>88217.3</v>
      </c>
      <c r="S28" s="60">
        <f t="shared" si="4"/>
        <v>133739.09999999998</v>
      </c>
      <c r="T28" s="60">
        <f t="shared" si="4"/>
        <v>0</v>
      </c>
      <c r="U28" s="60">
        <f t="shared" si="4"/>
        <v>77891.485000000015</v>
      </c>
      <c r="V28" s="60">
        <f t="shared" si="4"/>
        <v>58342.373000000007</v>
      </c>
      <c r="W28" s="60">
        <f t="shared" si="4"/>
        <v>0</v>
      </c>
      <c r="X28" s="60">
        <f t="shared" si="4"/>
        <v>41037.578000000001</v>
      </c>
      <c r="Y28" s="60">
        <f t="shared" si="4"/>
        <v>155307.91699999999</v>
      </c>
      <c r="Z28" s="60">
        <f t="shared" si="4"/>
        <v>0</v>
      </c>
      <c r="AA28" s="60">
        <f t="shared" si="4"/>
        <v>766844.54599999986</v>
      </c>
      <c r="AB28" s="60">
        <f t="shared" si="4"/>
        <v>1038645.5900000002</v>
      </c>
      <c r="AC28" s="60">
        <f t="shared" si="4"/>
        <v>0</v>
      </c>
    </row>
    <row r="29" spans="1:29" ht="24" customHeight="1">
      <c r="A29" s="110">
        <v>24</v>
      </c>
      <c r="B29" s="21" t="s">
        <v>17</v>
      </c>
      <c r="C29" s="40">
        <v>31846.111000000001</v>
      </c>
      <c r="D29" s="40">
        <v>163151</v>
      </c>
      <c r="E29" s="40"/>
      <c r="F29" s="40"/>
      <c r="G29" s="39"/>
      <c r="H29" s="36"/>
      <c r="I29" s="134">
        <v>1085.4000000000001</v>
      </c>
      <c r="J29" s="134">
        <v>71099.8</v>
      </c>
      <c r="K29" s="58">
        <v>57200</v>
      </c>
      <c r="L29" s="40"/>
      <c r="M29" s="39"/>
      <c r="N29" s="36"/>
      <c r="O29" s="40"/>
      <c r="P29" s="39"/>
      <c r="Q29" s="36"/>
      <c r="R29" s="40">
        <v>19620</v>
      </c>
      <c r="S29" s="39">
        <v>8860</v>
      </c>
      <c r="T29" s="36"/>
      <c r="U29" s="40"/>
      <c r="V29" s="40"/>
      <c r="W29" s="36"/>
      <c r="X29" s="40"/>
      <c r="Y29" s="40"/>
      <c r="Z29" s="36"/>
      <c r="AA29" s="30">
        <f t="shared" ref="AA29:AB33" si="5">+C29+F29+I29+L29+O29+R29+U29+X29</f>
        <v>52551.510999999999</v>
      </c>
      <c r="AB29" s="30">
        <f t="shared" si="5"/>
        <v>243110.8</v>
      </c>
      <c r="AC29" s="30">
        <f t="shared" si="3"/>
        <v>57200</v>
      </c>
    </row>
    <row r="30" spans="1:29" ht="32.25" customHeight="1">
      <c r="A30" s="110">
        <v>25</v>
      </c>
      <c r="B30" s="21" t="s">
        <v>18</v>
      </c>
      <c r="C30" s="30">
        <v>21043.3</v>
      </c>
      <c r="D30" s="37">
        <v>56329.599999999999</v>
      </c>
      <c r="E30" s="40"/>
      <c r="F30" s="30"/>
      <c r="G30" s="36"/>
      <c r="H30" s="36"/>
      <c r="I30" s="67"/>
      <c r="J30" s="130"/>
      <c r="K30" s="36"/>
      <c r="L30" s="30"/>
      <c r="M30" s="36"/>
      <c r="N30" s="36"/>
      <c r="O30" s="30"/>
      <c r="P30" s="36"/>
      <c r="Q30" s="36"/>
      <c r="R30" s="30">
        <v>2280</v>
      </c>
      <c r="S30" s="36">
        <v>7700</v>
      </c>
      <c r="T30" s="36"/>
      <c r="U30" s="30"/>
      <c r="V30" s="36"/>
      <c r="W30" s="36"/>
      <c r="X30" s="30"/>
      <c r="Y30" s="36"/>
      <c r="Z30" s="36"/>
      <c r="AA30" s="30">
        <f t="shared" si="5"/>
        <v>23323.3</v>
      </c>
      <c r="AB30" s="30">
        <f t="shared" si="5"/>
        <v>64029.599999999999</v>
      </c>
      <c r="AC30" s="30">
        <f t="shared" si="3"/>
        <v>0</v>
      </c>
    </row>
    <row r="31" spans="1:29" ht="24" customHeight="1">
      <c r="A31" s="110">
        <v>26</v>
      </c>
      <c r="B31" s="21" t="s">
        <v>19</v>
      </c>
      <c r="C31" s="36">
        <v>0</v>
      </c>
      <c r="D31" s="36"/>
      <c r="E31" s="36"/>
      <c r="F31" s="36"/>
      <c r="G31" s="36"/>
      <c r="H31" s="36"/>
      <c r="I31" s="130"/>
      <c r="J31" s="130"/>
      <c r="K31" s="36"/>
      <c r="L31" s="36"/>
      <c r="M31" s="36"/>
      <c r="N31" s="36"/>
      <c r="O31" s="36"/>
      <c r="P31" s="36"/>
      <c r="Q31" s="36"/>
      <c r="R31" s="36">
        <v>145</v>
      </c>
      <c r="S31" s="36">
        <v>200</v>
      </c>
      <c r="T31" s="36"/>
      <c r="U31" s="36"/>
      <c r="V31" s="36"/>
      <c r="W31" s="36"/>
      <c r="X31" s="36"/>
      <c r="Y31" s="36"/>
      <c r="Z31" s="36"/>
      <c r="AA31" s="30">
        <f t="shared" si="5"/>
        <v>145</v>
      </c>
      <c r="AB31" s="30">
        <f t="shared" si="5"/>
        <v>200</v>
      </c>
      <c r="AC31" s="30">
        <f t="shared" si="3"/>
        <v>0</v>
      </c>
    </row>
    <row r="32" spans="1:29" ht="24" customHeight="1">
      <c r="A32" s="110">
        <v>27</v>
      </c>
      <c r="B32" s="21" t="s">
        <v>20</v>
      </c>
      <c r="C32" s="30">
        <v>1471.22</v>
      </c>
      <c r="D32" s="36">
        <v>6500</v>
      </c>
      <c r="E32" s="40"/>
      <c r="F32" s="30"/>
      <c r="G32" s="36"/>
      <c r="H32" s="36"/>
      <c r="I32" s="123">
        <v>2409.5</v>
      </c>
      <c r="J32" s="123">
        <v>5811</v>
      </c>
      <c r="K32" s="45">
        <v>3000</v>
      </c>
      <c r="L32" s="30"/>
      <c r="M32" s="36"/>
      <c r="N32" s="36"/>
      <c r="O32" s="30"/>
      <c r="P32" s="36"/>
      <c r="Q32" s="36"/>
      <c r="R32" s="30">
        <v>188.9</v>
      </c>
      <c r="S32" s="36">
        <v>4080</v>
      </c>
      <c r="T32" s="36"/>
      <c r="U32" s="30"/>
      <c r="V32" s="36"/>
      <c r="W32" s="36"/>
      <c r="X32" s="30"/>
      <c r="Y32" s="36"/>
      <c r="Z32" s="36"/>
      <c r="AA32" s="30">
        <f t="shared" si="5"/>
        <v>4069.6200000000003</v>
      </c>
      <c r="AB32" s="30">
        <f t="shared" si="5"/>
        <v>16391</v>
      </c>
      <c r="AC32" s="30">
        <f t="shared" si="3"/>
        <v>3000</v>
      </c>
    </row>
    <row r="33" spans="1:29" ht="24" customHeight="1">
      <c r="A33" s="110">
        <v>28</v>
      </c>
      <c r="B33" s="7" t="s">
        <v>83</v>
      </c>
      <c r="C33" s="30">
        <v>300</v>
      </c>
      <c r="D33" s="36">
        <v>6000</v>
      </c>
      <c r="E33" s="40"/>
      <c r="F33" s="30"/>
      <c r="G33" s="36"/>
      <c r="H33" s="36"/>
      <c r="I33" s="123">
        <v>985</v>
      </c>
      <c r="J33" s="123">
        <v>2787.5</v>
      </c>
      <c r="K33" s="45">
        <v>2238.1999999999998</v>
      </c>
      <c r="L33" s="30"/>
      <c r="M33" s="36"/>
      <c r="N33" s="36"/>
      <c r="O33" s="30"/>
      <c r="P33" s="36"/>
      <c r="Q33" s="36"/>
      <c r="R33" s="30">
        <v>880</v>
      </c>
      <c r="S33" s="36">
        <v>900</v>
      </c>
      <c r="T33" s="36"/>
      <c r="U33" s="30"/>
      <c r="V33" s="36"/>
      <c r="W33" s="36"/>
      <c r="X33" s="30"/>
      <c r="Y33" s="36"/>
      <c r="Z33" s="36"/>
      <c r="AA33" s="30">
        <f t="shared" si="5"/>
        <v>2165</v>
      </c>
      <c r="AB33" s="30">
        <f t="shared" si="5"/>
        <v>9687.5</v>
      </c>
      <c r="AC33" s="30">
        <f t="shared" si="3"/>
        <v>2238.1999999999998</v>
      </c>
    </row>
    <row r="34" spans="1:29" ht="24" customHeight="1">
      <c r="A34" s="111"/>
      <c r="B34" s="59" t="s">
        <v>21</v>
      </c>
      <c r="C34" s="60">
        <f t="shared" ref="C34:K34" si="6">SUM(C4:C33)</f>
        <v>543971.99700000009</v>
      </c>
      <c r="D34" s="60">
        <f t="shared" si="6"/>
        <v>871980.6</v>
      </c>
      <c r="E34" s="60">
        <f t="shared" si="6"/>
        <v>0</v>
      </c>
      <c r="F34" s="60">
        <f t="shared" si="6"/>
        <v>239013</v>
      </c>
      <c r="G34" s="60">
        <f t="shared" si="6"/>
        <v>277523.59999999998</v>
      </c>
      <c r="H34" s="60">
        <f t="shared" si="6"/>
        <v>0</v>
      </c>
      <c r="I34" s="135">
        <f t="shared" si="6"/>
        <v>136210.9</v>
      </c>
      <c r="J34" s="135">
        <f t="shared" si="6"/>
        <v>273466.3</v>
      </c>
      <c r="K34" s="61">
        <f t="shared" si="6"/>
        <v>62438.2</v>
      </c>
      <c r="L34" s="60">
        <f>+L28+L29+L30+L31+L32+L33</f>
        <v>81661.5</v>
      </c>
      <c r="M34" s="60">
        <f>+M28+M29+M30+M31+M32+M33</f>
        <v>81981.899999999994</v>
      </c>
      <c r="N34" s="60">
        <f>+N28+N29+N30+N31+N32+N33</f>
        <v>0</v>
      </c>
      <c r="O34" s="60">
        <f>+O28+O29+O30+O31+O32+O33</f>
        <v>48009</v>
      </c>
      <c r="P34" s="60">
        <f>+P28+P29+P30+P31+P32+P33</f>
        <v>53628.5</v>
      </c>
      <c r="Q34" s="60">
        <f t="shared" ref="Q34:Z34" si="7">+Q28+Q29+Q30+Q31+Q32+Q33</f>
        <v>0</v>
      </c>
      <c r="R34" s="60">
        <f t="shared" si="7"/>
        <v>111331.2</v>
      </c>
      <c r="S34" s="60">
        <f t="shared" si="7"/>
        <v>155479.09999999998</v>
      </c>
      <c r="T34" s="60">
        <f t="shared" si="7"/>
        <v>0</v>
      </c>
      <c r="U34" s="60">
        <f t="shared" si="7"/>
        <v>77891.485000000015</v>
      </c>
      <c r="V34" s="60">
        <f t="shared" si="7"/>
        <v>58342.373000000007</v>
      </c>
      <c r="W34" s="60">
        <f t="shared" si="7"/>
        <v>0</v>
      </c>
      <c r="X34" s="60">
        <f t="shared" si="7"/>
        <v>41037.578000000001</v>
      </c>
      <c r="Y34" s="60">
        <f t="shared" si="7"/>
        <v>155307.91699999999</v>
      </c>
      <c r="Z34" s="60">
        <f t="shared" si="7"/>
        <v>0</v>
      </c>
      <c r="AA34" s="60">
        <f>SUM(AA4:AA33)</f>
        <v>1615943.5229999998</v>
      </c>
      <c r="AB34" s="61">
        <f>SUM(AB4:AB33)</f>
        <v>2410710.0800000005</v>
      </c>
      <c r="AC34" s="62">
        <f>SUM(AC4:AC33)</f>
        <v>62438.2</v>
      </c>
    </row>
    <row r="35" spans="1:29" ht="24" customHeight="1">
      <c r="A35" s="112"/>
      <c r="C35" s="51"/>
      <c r="D35" s="51"/>
      <c r="E35" s="51"/>
      <c r="G35" s="52"/>
      <c r="I35" s="136"/>
      <c r="J35" s="136"/>
      <c r="K35" s="53"/>
      <c r="L35" s="141"/>
    </row>
    <row r="36" spans="1:29" ht="24" customHeight="1">
      <c r="A36" s="112"/>
      <c r="B36" s="16"/>
      <c r="C36" s="270"/>
      <c r="D36" s="270"/>
      <c r="E36" s="270"/>
      <c r="F36" s="270"/>
      <c r="G36" s="52"/>
    </row>
    <row r="37" spans="1:29" ht="24" customHeight="1">
      <c r="C37" s="51"/>
      <c r="D37" s="51"/>
      <c r="E37" s="51"/>
      <c r="F37" s="51"/>
      <c r="G37" s="51"/>
      <c r="H37" s="51"/>
      <c r="I37" s="138"/>
      <c r="J37" s="138"/>
      <c r="K37" s="51"/>
      <c r="L37" s="141"/>
      <c r="M37" s="14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</row>
    <row r="38" spans="1:29" ht="24" customHeight="1">
      <c r="G38" s="52"/>
    </row>
    <row r="39" spans="1:29" ht="24" customHeight="1">
      <c r="G39" s="52"/>
    </row>
    <row r="40" spans="1:29" ht="24" customHeight="1">
      <c r="G40" s="52"/>
    </row>
    <row r="41" spans="1:29" ht="24" customHeight="1">
      <c r="G41" s="52"/>
    </row>
    <row r="42" spans="1:29" ht="24" customHeight="1">
      <c r="G42" s="52"/>
    </row>
  </sheetData>
  <mergeCells count="13">
    <mergeCell ref="C36:F36"/>
    <mergeCell ref="A24:A25"/>
    <mergeCell ref="B24:B25"/>
    <mergeCell ref="X2:Z2"/>
    <mergeCell ref="AA2:AC2"/>
    <mergeCell ref="U2:W2"/>
    <mergeCell ref="C2:E2"/>
    <mergeCell ref="F2:H2"/>
    <mergeCell ref="A2:B3"/>
    <mergeCell ref="I2:K2"/>
    <mergeCell ref="L2:N2"/>
    <mergeCell ref="O2:Q2"/>
    <mergeCell ref="R2:T2"/>
  </mergeCells>
  <phoneticPr fontId="0" type="noConversion"/>
  <printOptions horizontalCentered="1"/>
  <pageMargins left="0.16" right="0" top="0.23" bottom="0" header="0" footer="0"/>
  <pageSetup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4"/>
  <dimension ref="A1:AD58"/>
  <sheetViews>
    <sheetView zoomScaleNormal="100" workbookViewId="0">
      <selection activeCell="E1" sqref="D1:F2"/>
    </sheetView>
  </sheetViews>
  <sheetFormatPr defaultRowHeight="12.75"/>
  <cols>
    <col min="1" max="1" width="6.42578125" customWidth="1"/>
    <col min="3" max="3" width="45.7109375" customWidth="1"/>
    <col min="4" max="4" width="12.85546875" style="122" customWidth="1"/>
    <col min="5" max="5" width="14.5703125" style="122" customWidth="1"/>
    <col min="6" max="6" width="20" style="35" customWidth="1"/>
    <col min="7" max="7" width="13.42578125" style="35" customWidth="1"/>
    <col min="8" max="8" width="14.85546875" style="122" customWidth="1"/>
    <col min="9" max="10" width="16.5703125" style="35" customWidth="1"/>
    <col min="11" max="11" width="15.140625" style="35" customWidth="1"/>
    <col min="12" max="12" width="17.28515625" style="35" customWidth="1"/>
    <col min="13" max="13" width="14.7109375" style="142" customWidth="1"/>
    <col min="14" max="14" width="15.7109375" style="142" customWidth="1"/>
    <col min="15" max="15" width="16.42578125" style="35" customWidth="1"/>
    <col min="16" max="16" width="14.85546875" style="35" customWidth="1"/>
    <col min="17" max="17" width="15.28515625" style="35" customWidth="1"/>
    <col min="18" max="18" width="16.5703125" style="35" customWidth="1"/>
    <col min="19" max="19" width="12.7109375" style="35" customWidth="1"/>
    <col min="20" max="20" width="14.5703125" style="35" customWidth="1"/>
    <col min="21" max="21" width="16.85546875" style="35" customWidth="1"/>
    <col min="22" max="22" width="14.5703125" style="35" customWidth="1"/>
    <col min="23" max="23" width="15.140625" style="35" customWidth="1"/>
    <col min="24" max="24" width="17" style="35" customWidth="1"/>
    <col min="25" max="25" width="12.28515625" style="35" customWidth="1"/>
    <col min="26" max="26" width="14.5703125" style="144" customWidth="1"/>
    <col min="27" max="27" width="17.28515625" style="35" customWidth="1"/>
    <col min="28" max="28" width="15.5703125" style="35" customWidth="1"/>
    <col min="29" max="29" width="15.42578125" style="35" customWidth="1"/>
    <col min="30" max="30" width="16.7109375" style="35" customWidth="1"/>
  </cols>
  <sheetData>
    <row r="1" spans="1:30" ht="12" customHeight="1">
      <c r="B1" s="6"/>
      <c r="C1" s="6"/>
      <c r="D1" s="126"/>
      <c r="E1" s="273" t="s">
        <v>14</v>
      </c>
      <c r="F1" s="273"/>
    </row>
    <row r="2" spans="1:30" ht="58.5" customHeight="1">
      <c r="B2" s="6"/>
      <c r="C2" s="6"/>
      <c r="D2" s="274" t="s">
        <v>110</v>
      </c>
      <c r="E2" s="274"/>
      <c r="F2" s="274"/>
      <c r="G2" s="47"/>
    </row>
    <row r="3" spans="1:30" ht="30.75" customHeight="1">
      <c r="A3" s="3"/>
      <c r="B3" s="260" t="s">
        <v>109</v>
      </c>
      <c r="C3" s="260"/>
      <c r="D3" s="260"/>
      <c r="E3" s="260"/>
      <c r="F3" s="260"/>
    </row>
    <row r="4" spans="1:30" ht="30.75" customHeight="1">
      <c r="A4" s="3"/>
      <c r="B4" s="29"/>
      <c r="C4" s="29"/>
      <c r="D4" s="127"/>
      <c r="E4" s="127"/>
      <c r="F4" s="46" t="s">
        <v>13</v>
      </c>
    </row>
    <row r="5" spans="1:30" s="146" customFormat="1" ht="18.75" customHeight="1">
      <c r="B5" s="147"/>
      <c r="C5" s="147"/>
      <c r="D5" s="268" t="s">
        <v>85</v>
      </c>
      <c r="E5" s="268"/>
      <c r="F5" s="268"/>
      <c r="G5" s="268" t="s">
        <v>86</v>
      </c>
      <c r="H5" s="268"/>
      <c r="I5" s="268"/>
      <c r="J5" s="268" t="s">
        <v>87</v>
      </c>
      <c r="K5" s="268"/>
      <c r="L5" s="268"/>
      <c r="M5" s="268" t="s">
        <v>88</v>
      </c>
      <c r="N5" s="268"/>
      <c r="O5" s="268"/>
      <c r="P5" s="268" t="s">
        <v>89</v>
      </c>
      <c r="Q5" s="268"/>
      <c r="R5" s="268"/>
      <c r="S5" s="268" t="s">
        <v>90</v>
      </c>
      <c r="T5" s="268"/>
      <c r="U5" s="268"/>
      <c r="V5" s="268" t="s">
        <v>91</v>
      </c>
      <c r="W5" s="268"/>
      <c r="X5" s="268"/>
      <c r="Y5" s="268" t="s">
        <v>92</v>
      </c>
      <c r="Z5" s="268"/>
      <c r="AA5" s="268"/>
      <c r="AB5" s="268" t="s">
        <v>21</v>
      </c>
      <c r="AC5" s="268"/>
      <c r="AD5" s="268"/>
    </row>
    <row r="6" spans="1:30" s="117" customFormat="1" ht="55.5" customHeight="1">
      <c r="B6" s="118"/>
      <c r="C6" s="118"/>
      <c r="D6" s="123" t="s">
        <v>81</v>
      </c>
      <c r="E6" s="123" t="s">
        <v>73</v>
      </c>
      <c r="F6" s="45" t="s">
        <v>72</v>
      </c>
      <c r="G6" s="45" t="s">
        <v>81</v>
      </c>
      <c r="H6" s="123" t="s">
        <v>73</v>
      </c>
      <c r="I6" s="45" t="s">
        <v>72</v>
      </c>
      <c r="J6" s="45" t="s">
        <v>81</v>
      </c>
      <c r="K6" s="45" t="s">
        <v>73</v>
      </c>
      <c r="L6" s="45" t="s">
        <v>72</v>
      </c>
      <c r="M6" s="45" t="s">
        <v>81</v>
      </c>
      <c r="N6" s="45" t="s">
        <v>73</v>
      </c>
      <c r="O6" s="45" t="s">
        <v>72</v>
      </c>
      <c r="P6" s="45" t="s">
        <v>81</v>
      </c>
      <c r="Q6" s="45" t="s">
        <v>73</v>
      </c>
      <c r="R6" s="45" t="s">
        <v>72</v>
      </c>
      <c r="S6" s="45" t="s">
        <v>81</v>
      </c>
      <c r="T6" s="45" t="s">
        <v>73</v>
      </c>
      <c r="U6" s="45" t="s">
        <v>72</v>
      </c>
      <c r="V6" s="45" t="s">
        <v>81</v>
      </c>
      <c r="W6" s="45" t="s">
        <v>73</v>
      </c>
      <c r="X6" s="45" t="s">
        <v>72</v>
      </c>
      <c r="Y6" s="45" t="s">
        <v>81</v>
      </c>
      <c r="Z6" s="31" t="s">
        <v>73</v>
      </c>
      <c r="AA6" s="45" t="s">
        <v>72</v>
      </c>
      <c r="AB6" s="45" t="s">
        <v>81</v>
      </c>
      <c r="AC6" s="45" t="s">
        <v>73</v>
      </c>
      <c r="AD6" s="45" t="s">
        <v>72</v>
      </c>
    </row>
    <row r="7" spans="1:30" s="5" customFormat="1" ht="20.100000000000001" customHeight="1">
      <c r="B7" s="27">
        <v>4111</v>
      </c>
      <c r="C7" s="7" t="s">
        <v>22</v>
      </c>
      <c r="D7" s="67">
        <v>75098.513999999996</v>
      </c>
      <c r="E7" s="67">
        <v>92135</v>
      </c>
      <c r="F7" s="31"/>
      <c r="G7" s="41">
        <v>27599.5</v>
      </c>
      <c r="H7" s="41">
        <v>36906.300000000003</v>
      </c>
      <c r="I7" s="31"/>
      <c r="J7" s="31">
        <v>26915</v>
      </c>
      <c r="K7" s="31">
        <v>33100</v>
      </c>
      <c r="L7" s="31"/>
      <c r="M7" s="67">
        <v>24714.3</v>
      </c>
      <c r="N7" s="123">
        <v>29450</v>
      </c>
      <c r="O7" s="31"/>
      <c r="P7" s="31">
        <v>12883.9</v>
      </c>
      <c r="Q7" s="31">
        <v>13050</v>
      </c>
      <c r="R7" s="31"/>
      <c r="S7" s="30">
        <v>16191.8</v>
      </c>
      <c r="T7" s="30">
        <v>23808</v>
      </c>
      <c r="U7" s="31"/>
      <c r="V7" s="30">
        <v>18138.644</v>
      </c>
      <c r="W7" s="30">
        <v>21245.249</v>
      </c>
      <c r="X7" s="31"/>
      <c r="Y7" s="31">
        <v>22258.5</v>
      </c>
      <c r="Z7" s="31">
        <v>27541.5</v>
      </c>
      <c r="AA7" s="30"/>
      <c r="AB7" s="30">
        <f>+D7+G7+J7+M7+P7+S7+V7+Y7</f>
        <v>223800.15799999997</v>
      </c>
      <c r="AC7" s="30">
        <f t="shared" ref="AC7:AD22" si="0">+E7+H7+K7+N7+Q7+T7+W7+Z7</f>
        <v>277236.049</v>
      </c>
      <c r="AD7" s="30">
        <f t="shared" si="0"/>
        <v>0</v>
      </c>
    </row>
    <row r="8" spans="1:30" s="5" customFormat="1" ht="20.100000000000001" customHeight="1">
      <c r="B8" s="27">
        <v>4112</v>
      </c>
      <c r="C8" s="7" t="s">
        <v>23</v>
      </c>
      <c r="D8" s="67">
        <v>4000</v>
      </c>
      <c r="E8" s="124">
        <v>5193.2</v>
      </c>
      <c r="F8" s="31"/>
      <c r="G8" s="41">
        <v>1456</v>
      </c>
      <c r="H8" s="41">
        <v>3326.5</v>
      </c>
      <c r="I8" s="31"/>
      <c r="J8" s="45">
        <v>1815.5</v>
      </c>
      <c r="K8" s="45">
        <v>3350</v>
      </c>
      <c r="L8" s="45"/>
      <c r="M8" s="67">
        <v>2658</v>
      </c>
      <c r="N8" s="123">
        <v>4000</v>
      </c>
      <c r="O8" s="31"/>
      <c r="P8" s="30">
        <v>1345</v>
      </c>
      <c r="Q8" s="31">
        <v>1000</v>
      </c>
      <c r="R8" s="31"/>
      <c r="S8" s="30">
        <v>1192</v>
      </c>
      <c r="T8" s="31">
        <v>3500</v>
      </c>
      <c r="U8" s="31"/>
      <c r="V8" s="30">
        <v>1137.0999999999999</v>
      </c>
      <c r="W8" s="31">
        <v>3013.4</v>
      </c>
      <c r="X8" s="31"/>
      <c r="Y8" s="31">
        <v>2825.5</v>
      </c>
      <c r="Z8" s="31">
        <v>2292</v>
      </c>
      <c r="AA8" s="31"/>
      <c r="AB8" s="30">
        <f t="shared" ref="AB8:AD44" si="1">+D8+G8+J8+M8+P8+S8+V8+Y8</f>
        <v>16429.099999999999</v>
      </c>
      <c r="AC8" s="30">
        <f t="shared" si="0"/>
        <v>25675.100000000002</v>
      </c>
      <c r="AD8" s="30">
        <f t="shared" si="0"/>
        <v>0</v>
      </c>
    </row>
    <row r="9" spans="1:30" s="5" customFormat="1" ht="20.100000000000001" customHeight="1">
      <c r="B9" s="27">
        <v>4115</v>
      </c>
      <c r="C9" s="7" t="s">
        <v>67</v>
      </c>
      <c r="D9" s="67">
        <v>3057.2220000000002</v>
      </c>
      <c r="E9" s="124">
        <v>3671.6</v>
      </c>
      <c r="F9" s="31"/>
      <c r="G9" s="30"/>
      <c r="H9" s="124"/>
      <c r="I9" s="31"/>
      <c r="J9" s="30"/>
      <c r="K9" s="31"/>
      <c r="L9" s="31"/>
      <c r="M9" s="30"/>
      <c r="N9" s="31"/>
      <c r="O9" s="31"/>
      <c r="P9" s="30"/>
      <c r="Q9" s="31"/>
      <c r="R9" s="31"/>
      <c r="S9" s="30"/>
      <c r="T9" s="31"/>
      <c r="U9" s="31"/>
      <c r="V9" s="30"/>
      <c r="W9" s="31">
        <v>0</v>
      </c>
      <c r="X9" s="31"/>
      <c r="Y9" s="31"/>
      <c r="Z9" s="31"/>
      <c r="AA9" s="31"/>
      <c r="AB9" s="30">
        <f t="shared" si="1"/>
        <v>3057.2220000000002</v>
      </c>
      <c r="AC9" s="30">
        <f t="shared" si="0"/>
        <v>3671.6</v>
      </c>
      <c r="AD9" s="30">
        <f t="shared" si="0"/>
        <v>0</v>
      </c>
    </row>
    <row r="10" spans="1:30" s="5" customFormat="1" ht="20.100000000000001" customHeight="1">
      <c r="B10" s="27">
        <v>4211</v>
      </c>
      <c r="C10" s="7" t="s">
        <v>100</v>
      </c>
      <c r="D10" s="67">
        <v>0</v>
      </c>
      <c r="E10" s="124">
        <v>0</v>
      </c>
      <c r="F10" s="31"/>
      <c r="G10" s="41">
        <v>0</v>
      </c>
      <c r="H10" s="41">
        <v>0</v>
      </c>
      <c r="I10" s="31"/>
      <c r="J10" s="45">
        <v>0</v>
      </c>
      <c r="K10" s="45">
        <v>50</v>
      </c>
      <c r="L10" s="45"/>
      <c r="M10" s="30"/>
      <c r="N10" s="31"/>
      <c r="O10" s="31"/>
      <c r="P10" s="30">
        <v>0</v>
      </c>
      <c r="Q10" s="31">
        <v>50</v>
      </c>
      <c r="R10" s="31"/>
      <c r="S10" s="30">
        <v>0</v>
      </c>
      <c r="T10" s="31"/>
      <c r="U10" s="31"/>
      <c r="V10" s="30"/>
      <c r="W10" s="31">
        <v>0</v>
      </c>
      <c r="X10" s="31"/>
      <c r="Y10" s="31"/>
      <c r="Z10" s="31"/>
      <c r="AA10" s="31"/>
      <c r="AB10" s="30">
        <f t="shared" si="1"/>
        <v>0</v>
      </c>
      <c r="AC10" s="30">
        <f t="shared" si="0"/>
        <v>100</v>
      </c>
      <c r="AD10" s="30">
        <f t="shared" si="0"/>
        <v>0</v>
      </c>
    </row>
    <row r="11" spans="1:30" s="5" customFormat="1" ht="20.100000000000001" customHeight="1">
      <c r="B11" s="27">
        <v>4212</v>
      </c>
      <c r="C11" s="7" t="s">
        <v>24</v>
      </c>
      <c r="D11" s="67">
        <v>339.577</v>
      </c>
      <c r="E11" s="124">
        <v>2600</v>
      </c>
      <c r="F11" s="30"/>
      <c r="G11" s="41">
        <v>2588.8000000000002</v>
      </c>
      <c r="H11" s="41">
        <v>2775.7</v>
      </c>
      <c r="I11" s="31">
        <v>3000</v>
      </c>
      <c r="J11" s="45">
        <v>2497.9</v>
      </c>
      <c r="K11" s="45">
        <v>3500</v>
      </c>
      <c r="L11" s="45">
        <v>3500</v>
      </c>
      <c r="M11" s="67">
        <v>2602.3000000000002</v>
      </c>
      <c r="N11" s="123">
        <v>3600</v>
      </c>
      <c r="O11" s="31"/>
      <c r="P11" s="30">
        <v>866</v>
      </c>
      <c r="Q11" s="31">
        <v>1000</v>
      </c>
      <c r="R11" s="31">
        <v>1000</v>
      </c>
      <c r="S11" s="30">
        <v>3653.4</v>
      </c>
      <c r="T11" s="31">
        <v>4300</v>
      </c>
      <c r="U11" s="31"/>
      <c r="V11" s="30">
        <v>1624.21</v>
      </c>
      <c r="W11" s="31">
        <v>2621.4929999999999</v>
      </c>
      <c r="X11" s="31"/>
      <c r="Y11" s="31">
        <v>1374.9</v>
      </c>
      <c r="Z11" s="31">
        <v>2000</v>
      </c>
      <c r="AA11" s="31"/>
      <c r="AB11" s="30">
        <f t="shared" si="1"/>
        <v>15547.087000000001</v>
      </c>
      <c r="AC11" s="30">
        <f t="shared" si="0"/>
        <v>22397.192999999999</v>
      </c>
      <c r="AD11" s="30">
        <f t="shared" si="0"/>
        <v>7500</v>
      </c>
    </row>
    <row r="12" spans="1:30" s="5" customFormat="1" ht="20.100000000000001" customHeight="1">
      <c r="B12" s="27">
        <v>4213</v>
      </c>
      <c r="C12" s="7" t="s">
        <v>25</v>
      </c>
      <c r="D12" s="67">
        <v>25396.57</v>
      </c>
      <c r="E12" s="124">
        <v>28620</v>
      </c>
      <c r="F12" s="30"/>
      <c r="G12" s="41">
        <v>0</v>
      </c>
      <c r="H12" s="41">
        <v>29.5</v>
      </c>
      <c r="I12" s="31">
        <v>50</v>
      </c>
      <c r="J12" s="45">
        <v>1941</v>
      </c>
      <c r="K12" s="45">
        <v>2020</v>
      </c>
      <c r="L12" s="45">
        <v>2100</v>
      </c>
      <c r="M12" s="67"/>
      <c r="N12" s="123">
        <v>50</v>
      </c>
      <c r="O12" s="31"/>
      <c r="P12" s="30">
        <v>1381.7</v>
      </c>
      <c r="Q12" s="31">
        <v>1510</v>
      </c>
      <c r="R12" s="31">
        <v>1510</v>
      </c>
      <c r="S12" s="30">
        <v>3790</v>
      </c>
      <c r="T12" s="31">
        <v>4600</v>
      </c>
      <c r="U12" s="31"/>
      <c r="V12" s="30">
        <v>1320</v>
      </c>
      <c r="W12" s="31">
        <v>1320.9179999999999</v>
      </c>
      <c r="X12" s="31"/>
      <c r="Y12" s="31">
        <v>1637.1</v>
      </c>
      <c r="Z12" s="31">
        <v>1700</v>
      </c>
      <c r="AA12" s="31"/>
      <c r="AB12" s="30">
        <f t="shared" si="1"/>
        <v>35466.370000000003</v>
      </c>
      <c r="AC12" s="30">
        <f t="shared" si="0"/>
        <v>39850.417999999998</v>
      </c>
      <c r="AD12" s="30">
        <f t="shared" si="0"/>
        <v>3660</v>
      </c>
    </row>
    <row r="13" spans="1:30" s="5" customFormat="1" ht="20.100000000000001" customHeight="1">
      <c r="B13" s="27">
        <v>4214</v>
      </c>
      <c r="C13" s="7" t="s">
        <v>26</v>
      </c>
      <c r="D13" s="67">
        <v>515.61900000000003</v>
      </c>
      <c r="E13" s="124">
        <v>638</v>
      </c>
      <c r="F13" s="30"/>
      <c r="G13" s="41">
        <v>190</v>
      </c>
      <c r="H13" s="41">
        <v>180</v>
      </c>
      <c r="I13" s="31"/>
      <c r="J13" s="45">
        <v>255.5</v>
      </c>
      <c r="K13" s="45">
        <v>300</v>
      </c>
      <c r="L13" s="45"/>
      <c r="M13" s="67">
        <v>202.6</v>
      </c>
      <c r="N13" s="123">
        <v>220</v>
      </c>
      <c r="O13" s="31"/>
      <c r="P13" s="30">
        <v>214.1</v>
      </c>
      <c r="Q13" s="31">
        <v>250</v>
      </c>
      <c r="R13" s="31"/>
      <c r="S13" s="30">
        <v>257.89999999999998</v>
      </c>
      <c r="T13" s="31">
        <v>330</v>
      </c>
      <c r="U13" s="31"/>
      <c r="V13" s="30">
        <v>213.077</v>
      </c>
      <c r="W13" s="31">
        <v>201.732</v>
      </c>
      <c r="X13" s="31"/>
      <c r="Y13" s="31">
        <v>295.89999999999998</v>
      </c>
      <c r="Z13" s="31">
        <v>350</v>
      </c>
      <c r="AA13" s="31"/>
      <c r="AB13" s="30">
        <f t="shared" si="1"/>
        <v>2144.6959999999999</v>
      </c>
      <c r="AC13" s="30">
        <f t="shared" si="0"/>
        <v>2469.732</v>
      </c>
      <c r="AD13" s="30">
        <f t="shared" si="0"/>
        <v>0</v>
      </c>
    </row>
    <row r="14" spans="1:30" s="5" customFormat="1" ht="20.100000000000001" customHeight="1">
      <c r="B14" s="27">
        <v>4215</v>
      </c>
      <c r="C14" s="7" t="s">
        <v>27</v>
      </c>
      <c r="D14" s="67">
        <v>67</v>
      </c>
      <c r="E14" s="124">
        <v>5684</v>
      </c>
      <c r="F14" s="30"/>
      <c r="G14" s="67">
        <v>150</v>
      </c>
      <c r="H14" s="124">
        <v>253.4</v>
      </c>
      <c r="I14" s="31"/>
      <c r="J14" s="30"/>
      <c r="K14" s="31"/>
      <c r="L14" s="31"/>
      <c r="M14" s="67">
        <v>94</v>
      </c>
      <c r="N14" s="123">
        <v>250</v>
      </c>
      <c r="O14" s="31"/>
      <c r="P14" s="30">
        <v>26</v>
      </c>
      <c r="Q14" s="31">
        <v>30</v>
      </c>
      <c r="R14" s="31"/>
      <c r="S14" s="30">
        <v>0</v>
      </c>
      <c r="T14" s="31">
        <v>0</v>
      </c>
      <c r="U14" s="31"/>
      <c r="V14" s="30"/>
      <c r="W14" s="31"/>
      <c r="X14" s="31"/>
      <c r="Y14" s="31">
        <v>28</v>
      </c>
      <c r="Z14" s="31">
        <v>100</v>
      </c>
      <c r="AA14" s="31"/>
      <c r="AB14" s="30">
        <f t="shared" si="1"/>
        <v>365</v>
      </c>
      <c r="AC14" s="30">
        <f t="shared" si="0"/>
        <v>6317.4</v>
      </c>
      <c r="AD14" s="30">
        <f t="shared" si="0"/>
        <v>0</v>
      </c>
    </row>
    <row r="15" spans="1:30" s="5" customFormat="1" ht="20.100000000000001" customHeight="1">
      <c r="B15" s="27">
        <v>4216</v>
      </c>
      <c r="C15" s="7" t="s">
        <v>28</v>
      </c>
      <c r="D15" s="67">
        <v>0</v>
      </c>
      <c r="E15" s="124">
        <v>0</v>
      </c>
      <c r="F15" s="31"/>
      <c r="G15" s="30"/>
      <c r="H15" s="124"/>
      <c r="I15" s="31"/>
      <c r="J15" s="30"/>
      <c r="K15" s="31"/>
      <c r="L15" s="31"/>
      <c r="M15" s="30"/>
      <c r="N15" s="31"/>
      <c r="O15" s="31"/>
      <c r="P15" s="30"/>
      <c r="Q15" s="31"/>
      <c r="R15" s="31"/>
      <c r="S15" s="30">
        <v>0</v>
      </c>
      <c r="T15" s="31">
        <v>0</v>
      </c>
      <c r="U15" s="31"/>
      <c r="V15" s="30"/>
      <c r="W15" s="31"/>
      <c r="X15" s="31"/>
      <c r="Y15" s="31"/>
      <c r="Z15" s="31"/>
      <c r="AA15" s="31"/>
      <c r="AB15" s="30">
        <f t="shared" si="1"/>
        <v>0</v>
      </c>
      <c r="AC15" s="30">
        <f t="shared" si="0"/>
        <v>0</v>
      </c>
      <c r="AD15" s="30">
        <f t="shared" si="0"/>
        <v>0</v>
      </c>
    </row>
    <row r="16" spans="1:30" s="5" customFormat="1" ht="20.100000000000001" customHeight="1">
      <c r="B16" s="27">
        <v>4221</v>
      </c>
      <c r="C16" s="7" t="s">
        <v>29</v>
      </c>
      <c r="D16" s="67">
        <v>0</v>
      </c>
      <c r="E16" s="124">
        <v>200</v>
      </c>
      <c r="F16" s="30"/>
      <c r="G16" s="41">
        <v>46.5</v>
      </c>
      <c r="H16" s="41">
        <v>165.8</v>
      </c>
      <c r="I16" s="31"/>
      <c r="J16" s="45">
        <v>64.5</v>
      </c>
      <c r="K16" s="45">
        <v>200</v>
      </c>
      <c r="L16" s="45"/>
      <c r="M16" s="67">
        <v>0</v>
      </c>
      <c r="N16" s="123">
        <v>200</v>
      </c>
      <c r="O16" s="31"/>
      <c r="P16" s="30">
        <v>75.400000000000006</v>
      </c>
      <c r="Q16" s="31">
        <v>120</v>
      </c>
      <c r="R16" s="31"/>
      <c r="S16" s="30">
        <v>77.2</v>
      </c>
      <c r="T16" s="31">
        <v>150</v>
      </c>
      <c r="U16" s="31"/>
      <c r="V16" s="30"/>
      <c r="W16" s="31"/>
      <c r="X16" s="31"/>
      <c r="Y16" s="31">
        <v>5.4</v>
      </c>
      <c r="Z16" s="31">
        <v>200</v>
      </c>
      <c r="AA16" s="31"/>
      <c r="AB16" s="30">
        <f t="shared" si="1"/>
        <v>269</v>
      </c>
      <c r="AC16" s="30">
        <f t="shared" si="0"/>
        <v>1235.8</v>
      </c>
      <c r="AD16" s="30">
        <f t="shared" si="0"/>
        <v>0</v>
      </c>
    </row>
    <row r="17" spans="2:30" s="5" customFormat="1" ht="20.100000000000001" customHeight="1">
      <c r="B17" s="27">
        <v>4231</v>
      </c>
      <c r="C17" s="7" t="s">
        <v>30</v>
      </c>
      <c r="D17" s="67">
        <v>2.57</v>
      </c>
      <c r="E17" s="124">
        <v>70</v>
      </c>
      <c r="F17" s="31"/>
      <c r="G17" s="30"/>
      <c r="H17" s="124"/>
      <c r="I17" s="31"/>
      <c r="J17" s="45">
        <v>0</v>
      </c>
      <c r="K17" s="45">
        <v>50</v>
      </c>
      <c r="L17" s="45"/>
      <c r="M17" s="30"/>
      <c r="N17" s="31"/>
      <c r="O17" s="31"/>
      <c r="P17" s="30"/>
      <c r="Q17" s="31"/>
      <c r="R17" s="31"/>
      <c r="S17" s="30">
        <v>0</v>
      </c>
      <c r="T17" s="31">
        <v>0</v>
      </c>
      <c r="U17" s="31"/>
      <c r="V17" s="30"/>
      <c r="W17" s="31"/>
      <c r="X17" s="31"/>
      <c r="Y17" s="31"/>
      <c r="Z17" s="31">
        <v>200</v>
      </c>
      <c r="AA17" s="31"/>
      <c r="AB17" s="30">
        <f t="shared" si="1"/>
        <v>2.57</v>
      </c>
      <c r="AC17" s="30">
        <f t="shared" si="0"/>
        <v>320</v>
      </c>
      <c r="AD17" s="30">
        <f t="shared" si="0"/>
        <v>0</v>
      </c>
    </row>
    <row r="18" spans="2:30" s="5" customFormat="1" ht="20.100000000000001" customHeight="1">
      <c r="B18" s="27">
        <v>4232</v>
      </c>
      <c r="C18" s="7" t="s">
        <v>31</v>
      </c>
      <c r="D18" s="67">
        <v>407</v>
      </c>
      <c r="E18" s="124">
        <v>417</v>
      </c>
      <c r="F18" s="31"/>
      <c r="G18" s="41">
        <v>163.19999999999999</v>
      </c>
      <c r="H18" s="41">
        <v>163.19999999999999</v>
      </c>
      <c r="I18" s="31"/>
      <c r="J18" s="45">
        <v>229.2</v>
      </c>
      <c r="K18" s="45">
        <v>300</v>
      </c>
      <c r="L18" s="45"/>
      <c r="M18" s="67">
        <v>258.2</v>
      </c>
      <c r="N18" s="123">
        <v>265</v>
      </c>
      <c r="O18" s="31"/>
      <c r="P18" s="30">
        <v>195.8</v>
      </c>
      <c r="Q18" s="31">
        <v>200</v>
      </c>
      <c r="R18" s="31"/>
      <c r="S18" s="30">
        <v>220.8</v>
      </c>
      <c r="T18" s="31">
        <v>225</v>
      </c>
      <c r="U18" s="31"/>
      <c r="V18" s="30">
        <v>115.2</v>
      </c>
      <c r="W18" s="31">
        <v>103.2</v>
      </c>
      <c r="X18" s="31"/>
      <c r="Y18" s="31">
        <v>163.19999999999999</v>
      </c>
      <c r="Z18" s="31">
        <v>200</v>
      </c>
      <c r="AA18" s="31"/>
      <c r="AB18" s="30">
        <f t="shared" si="1"/>
        <v>1752.6000000000001</v>
      </c>
      <c r="AC18" s="30">
        <f t="shared" si="0"/>
        <v>1873.4</v>
      </c>
      <c r="AD18" s="30">
        <f t="shared" si="0"/>
        <v>0</v>
      </c>
    </row>
    <row r="19" spans="2:30" s="5" customFormat="1" ht="40.5" customHeight="1">
      <c r="B19" s="27">
        <v>4233</v>
      </c>
      <c r="C19" s="7" t="s">
        <v>68</v>
      </c>
      <c r="D19" s="67">
        <v>76</v>
      </c>
      <c r="E19" s="124">
        <v>200</v>
      </c>
      <c r="F19" s="31"/>
      <c r="G19" s="30"/>
      <c r="H19" s="124"/>
      <c r="I19" s="31"/>
      <c r="J19" s="30"/>
      <c r="K19" s="31"/>
      <c r="L19" s="31"/>
      <c r="M19" s="30"/>
      <c r="N19" s="31"/>
      <c r="O19" s="31"/>
      <c r="P19" s="30"/>
      <c r="Q19" s="31"/>
      <c r="R19" s="31"/>
      <c r="S19" s="30">
        <v>0</v>
      </c>
      <c r="T19" s="31">
        <v>0</v>
      </c>
      <c r="U19" s="31"/>
      <c r="V19" s="30"/>
      <c r="W19" s="31"/>
      <c r="X19" s="31"/>
      <c r="Y19" s="31"/>
      <c r="Z19" s="31">
        <v>100</v>
      </c>
      <c r="AA19" s="31"/>
      <c r="AB19" s="30">
        <f t="shared" si="1"/>
        <v>76</v>
      </c>
      <c r="AC19" s="30">
        <f t="shared" si="0"/>
        <v>300</v>
      </c>
      <c r="AD19" s="30">
        <f t="shared" si="0"/>
        <v>0</v>
      </c>
    </row>
    <row r="20" spans="2:30" s="5" customFormat="1" ht="20.100000000000001" customHeight="1">
      <c r="B20" s="27">
        <v>4234</v>
      </c>
      <c r="C20" s="7" t="s">
        <v>32</v>
      </c>
      <c r="D20" s="67">
        <v>48</v>
      </c>
      <c r="E20" s="124">
        <v>132</v>
      </c>
      <c r="F20" s="31"/>
      <c r="G20" s="41">
        <v>232.5</v>
      </c>
      <c r="H20" s="41">
        <v>361.2</v>
      </c>
      <c r="I20" s="31"/>
      <c r="J20" s="45">
        <v>15</v>
      </c>
      <c r="K20" s="45">
        <v>150</v>
      </c>
      <c r="L20" s="45"/>
      <c r="M20" s="67">
        <v>48</v>
      </c>
      <c r="N20" s="123">
        <v>60</v>
      </c>
      <c r="O20" s="31"/>
      <c r="P20" s="30">
        <v>64</v>
      </c>
      <c r="Q20" s="31">
        <v>100</v>
      </c>
      <c r="R20" s="31"/>
      <c r="S20" s="30">
        <v>48</v>
      </c>
      <c r="T20" s="31">
        <v>55</v>
      </c>
      <c r="U20" s="31"/>
      <c r="V20" s="30">
        <v>174.65</v>
      </c>
      <c r="W20" s="31">
        <v>52</v>
      </c>
      <c r="X20" s="31"/>
      <c r="Y20" s="31">
        <v>60.4</v>
      </c>
      <c r="Z20" s="31">
        <v>200</v>
      </c>
      <c r="AA20" s="31"/>
      <c r="AB20" s="30">
        <f t="shared" si="1"/>
        <v>690.55</v>
      </c>
      <c r="AC20" s="30">
        <f t="shared" si="0"/>
        <v>1110.2</v>
      </c>
      <c r="AD20" s="30">
        <f t="shared" si="0"/>
        <v>0</v>
      </c>
    </row>
    <row r="21" spans="2:30" s="5" customFormat="1" ht="20.100000000000001" customHeight="1">
      <c r="B21" s="27">
        <v>4235</v>
      </c>
      <c r="C21" s="7" t="s">
        <v>84</v>
      </c>
      <c r="D21" s="67">
        <v>0</v>
      </c>
      <c r="E21" s="124">
        <v>990</v>
      </c>
      <c r="F21" s="31"/>
      <c r="G21" s="41">
        <v>1500</v>
      </c>
      <c r="H21" s="41">
        <v>0</v>
      </c>
      <c r="I21" s="31"/>
      <c r="J21" s="45">
        <v>0</v>
      </c>
      <c r="K21" s="45">
        <v>100</v>
      </c>
      <c r="L21" s="45"/>
      <c r="M21" s="30"/>
      <c r="N21" s="31"/>
      <c r="O21" s="31"/>
      <c r="P21" s="30">
        <v>960</v>
      </c>
      <c r="Q21" s="31">
        <v>960</v>
      </c>
      <c r="R21" s="31"/>
      <c r="S21" s="30">
        <v>0</v>
      </c>
      <c r="T21" s="31">
        <v>0</v>
      </c>
      <c r="U21" s="31"/>
      <c r="V21" s="30"/>
      <c r="W21" s="31"/>
      <c r="X21" s="31"/>
      <c r="Y21" s="31"/>
      <c r="Z21" s="31"/>
      <c r="AA21" s="31"/>
      <c r="AB21" s="30">
        <f t="shared" si="1"/>
        <v>2460</v>
      </c>
      <c r="AC21" s="30">
        <f t="shared" si="0"/>
        <v>2050</v>
      </c>
      <c r="AD21" s="30">
        <f t="shared" si="0"/>
        <v>0</v>
      </c>
    </row>
    <row r="22" spans="2:30" s="5" customFormat="1" ht="36" customHeight="1">
      <c r="B22" s="27">
        <v>4236</v>
      </c>
      <c r="C22" s="7" t="s">
        <v>33</v>
      </c>
      <c r="D22" s="67">
        <v>0</v>
      </c>
      <c r="E22" s="124">
        <v>600</v>
      </c>
      <c r="F22" s="31"/>
      <c r="G22" s="41"/>
      <c r="H22" s="41"/>
      <c r="I22" s="31"/>
      <c r="J22" s="30"/>
      <c r="K22" s="31"/>
      <c r="L22" s="31"/>
      <c r="M22" s="30"/>
      <c r="N22" s="31"/>
      <c r="O22" s="31"/>
      <c r="P22" s="30"/>
      <c r="Q22" s="31"/>
      <c r="R22" s="31"/>
      <c r="S22" s="30">
        <v>0</v>
      </c>
      <c r="T22" s="31">
        <v>0</v>
      </c>
      <c r="U22" s="31"/>
      <c r="V22" s="30"/>
      <c r="W22" s="31"/>
      <c r="X22" s="31"/>
      <c r="Y22" s="31"/>
      <c r="Z22" s="31"/>
      <c r="AA22" s="31"/>
      <c r="AB22" s="30">
        <f t="shared" si="1"/>
        <v>0</v>
      </c>
      <c r="AC22" s="30">
        <f t="shared" si="0"/>
        <v>600</v>
      </c>
      <c r="AD22" s="30">
        <f t="shared" si="0"/>
        <v>0</v>
      </c>
    </row>
    <row r="23" spans="2:30" s="5" customFormat="1" ht="20.100000000000001" customHeight="1">
      <c r="B23" s="27">
        <v>4237</v>
      </c>
      <c r="C23" s="7" t="s">
        <v>34</v>
      </c>
      <c r="D23" s="67">
        <v>351.6</v>
      </c>
      <c r="E23" s="124">
        <v>910</v>
      </c>
      <c r="F23" s="30"/>
      <c r="G23" s="41">
        <v>451</v>
      </c>
      <c r="H23" s="41">
        <v>161</v>
      </c>
      <c r="I23" s="31"/>
      <c r="J23" s="45">
        <v>1344.7</v>
      </c>
      <c r="K23" s="45">
        <v>1700</v>
      </c>
      <c r="L23" s="45"/>
      <c r="M23" s="30"/>
      <c r="N23" s="31"/>
      <c r="O23" s="31"/>
      <c r="P23" s="30">
        <v>1113.5999999999999</v>
      </c>
      <c r="Q23" s="31">
        <v>1100</v>
      </c>
      <c r="R23" s="31"/>
      <c r="S23" s="30">
        <v>789.6</v>
      </c>
      <c r="T23" s="31">
        <v>500</v>
      </c>
      <c r="U23" s="31"/>
      <c r="V23" s="30"/>
      <c r="W23" s="31"/>
      <c r="X23" s="31"/>
      <c r="Y23" s="31">
        <v>691.8</v>
      </c>
      <c r="Z23" s="31">
        <v>1000</v>
      </c>
      <c r="AA23" s="31"/>
      <c r="AB23" s="30">
        <f t="shared" si="1"/>
        <v>4742.3</v>
      </c>
      <c r="AC23" s="30">
        <f t="shared" si="1"/>
        <v>5371</v>
      </c>
      <c r="AD23" s="30">
        <f t="shared" si="1"/>
        <v>0</v>
      </c>
    </row>
    <row r="24" spans="2:30" s="5" customFormat="1" ht="20.100000000000001" customHeight="1">
      <c r="B24" s="27">
        <v>4239</v>
      </c>
      <c r="C24" s="7" t="s">
        <v>35</v>
      </c>
      <c r="D24" s="67">
        <v>0</v>
      </c>
      <c r="E24" s="124">
        <v>1100</v>
      </c>
      <c r="F24" s="30"/>
      <c r="G24" s="41">
        <v>376.2</v>
      </c>
      <c r="H24" s="41">
        <v>465</v>
      </c>
      <c r="I24" s="31"/>
      <c r="J24" s="45">
        <v>1772.9</v>
      </c>
      <c r="K24" s="45">
        <v>2500</v>
      </c>
      <c r="L24" s="45"/>
      <c r="M24" s="67">
        <v>3828</v>
      </c>
      <c r="N24" s="123">
        <v>3700</v>
      </c>
      <c r="O24" s="31"/>
      <c r="P24" s="30">
        <v>394.4</v>
      </c>
      <c r="Q24" s="31">
        <v>600</v>
      </c>
      <c r="R24" s="31"/>
      <c r="S24" s="30">
        <v>1121.8</v>
      </c>
      <c r="T24" s="31">
        <v>3342</v>
      </c>
      <c r="U24" s="31"/>
      <c r="V24" s="30">
        <v>2050.5149999999999</v>
      </c>
      <c r="W24" s="31">
        <v>2778.9470000000001</v>
      </c>
      <c r="X24" s="31"/>
      <c r="Y24" s="31">
        <v>1110</v>
      </c>
      <c r="Z24" s="31">
        <v>2200</v>
      </c>
      <c r="AA24" s="31"/>
      <c r="AB24" s="30">
        <f t="shared" si="1"/>
        <v>10653.815000000001</v>
      </c>
      <c r="AC24" s="30">
        <f t="shared" si="1"/>
        <v>16685.947</v>
      </c>
      <c r="AD24" s="30">
        <f t="shared" si="1"/>
        <v>0</v>
      </c>
    </row>
    <row r="25" spans="2:30" s="5" customFormat="1" ht="20.100000000000001" customHeight="1">
      <c r="B25" s="27">
        <v>4241</v>
      </c>
      <c r="C25" s="7" t="s">
        <v>36</v>
      </c>
      <c r="D25" s="67">
        <v>2454.5340000000001</v>
      </c>
      <c r="E25" s="124">
        <v>7440</v>
      </c>
      <c r="F25" s="30"/>
      <c r="G25" s="41">
        <v>3115.4</v>
      </c>
      <c r="H25" s="41">
        <v>2586</v>
      </c>
      <c r="I25" s="31"/>
      <c r="J25" s="45">
        <v>415.4</v>
      </c>
      <c r="K25" s="45">
        <v>1400</v>
      </c>
      <c r="L25" s="45"/>
      <c r="M25" s="67">
        <v>25.8</v>
      </c>
      <c r="N25" s="123">
        <v>50</v>
      </c>
      <c r="O25" s="31"/>
      <c r="P25" s="30">
        <v>147.30000000000001</v>
      </c>
      <c r="Q25" s="31">
        <v>140</v>
      </c>
      <c r="R25" s="31"/>
      <c r="S25" s="30">
        <v>804</v>
      </c>
      <c r="T25" s="31">
        <v>650</v>
      </c>
      <c r="U25" s="31"/>
      <c r="V25" s="30">
        <v>351.19</v>
      </c>
      <c r="W25" s="31">
        <v>375</v>
      </c>
      <c r="X25" s="31"/>
      <c r="Y25" s="31"/>
      <c r="Z25" s="31">
        <v>150</v>
      </c>
      <c r="AA25" s="31"/>
      <c r="AB25" s="30">
        <f t="shared" si="1"/>
        <v>7313.6239999999998</v>
      </c>
      <c r="AC25" s="30">
        <f t="shared" si="1"/>
        <v>12791</v>
      </c>
      <c r="AD25" s="30">
        <f t="shared" si="1"/>
        <v>0</v>
      </c>
    </row>
    <row r="26" spans="2:30" s="5" customFormat="1" ht="36" customHeight="1">
      <c r="B26" s="28">
        <v>4251</v>
      </c>
      <c r="C26" s="7" t="s">
        <v>37</v>
      </c>
      <c r="D26" s="67">
        <v>0</v>
      </c>
      <c r="E26" s="124">
        <v>0</v>
      </c>
      <c r="F26" s="31"/>
      <c r="G26" s="41">
        <v>732</v>
      </c>
      <c r="H26" s="41">
        <v>1235.3</v>
      </c>
      <c r="I26" s="31"/>
      <c r="J26" s="45">
        <v>1493.2</v>
      </c>
      <c r="K26" s="45">
        <v>3300</v>
      </c>
      <c r="L26" s="45"/>
      <c r="M26" s="30"/>
      <c r="N26" s="31"/>
      <c r="O26" s="31"/>
      <c r="P26" s="30">
        <v>990</v>
      </c>
      <c r="Q26" s="31"/>
      <c r="R26" s="31"/>
      <c r="S26" s="30">
        <v>3090</v>
      </c>
      <c r="T26" s="31">
        <v>3906.7</v>
      </c>
      <c r="U26" s="31"/>
      <c r="V26" s="30"/>
      <c r="W26" s="31">
        <v>250</v>
      </c>
      <c r="X26" s="31"/>
      <c r="Y26" s="31"/>
      <c r="Z26" s="31">
        <v>400</v>
      </c>
      <c r="AA26" s="31"/>
      <c r="AB26" s="30">
        <f t="shared" si="1"/>
        <v>6305.2</v>
      </c>
      <c r="AC26" s="30">
        <f t="shared" si="1"/>
        <v>9092</v>
      </c>
      <c r="AD26" s="30">
        <f t="shared" si="1"/>
        <v>0</v>
      </c>
    </row>
    <row r="27" spans="2:30" s="5" customFormat="1" ht="30.75" customHeight="1">
      <c r="B27" s="28">
        <v>4252</v>
      </c>
      <c r="C27" s="7" t="s">
        <v>38</v>
      </c>
      <c r="D27" s="67">
        <v>172.5</v>
      </c>
      <c r="E27" s="124">
        <v>1000</v>
      </c>
      <c r="F27" s="31"/>
      <c r="G27" s="41">
        <v>100</v>
      </c>
      <c r="H27" s="41">
        <v>155</v>
      </c>
      <c r="I27" s="31"/>
      <c r="J27" s="30"/>
      <c r="K27" s="31"/>
      <c r="L27" s="31"/>
      <c r="M27" s="67">
        <v>282.8</v>
      </c>
      <c r="N27" s="123">
        <v>500</v>
      </c>
      <c r="O27" s="31"/>
      <c r="P27" s="30">
        <v>28</v>
      </c>
      <c r="Q27" s="31">
        <v>60</v>
      </c>
      <c r="R27" s="31"/>
      <c r="S27" s="30">
        <v>23.6</v>
      </c>
      <c r="T27" s="31">
        <v>70</v>
      </c>
      <c r="U27" s="31"/>
      <c r="V27" s="30">
        <v>140</v>
      </c>
      <c r="W27" s="31">
        <v>542.79999999999995</v>
      </c>
      <c r="X27" s="31"/>
      <c r="Y27" s="31">
        <v>161</v>
      </c>
      <c r="Z27" s="31">
        <v>500</v>
      </c>
      <c r="AA27" s="31"/>
      <c r="AB27" s="30">
        <f t="shared" si="1"/>
        <v>907.9</v>
      </c>
      <c r="AC27" s="30">
        <f t="shared" si="1"/>
        <v>2827.8</v>
      </c>
      <c r="AD27" s="30">
        <f t="shared" si="1"/>
        <v>0</v>
      </c>
    </row>
    <row r="28" spans="2:30" s="5" customFormat="1" ht="20.100000000000001" customHeight="1">
      <c r="B28" s="28">
        <v>4261</v>
      </c>
      <c r="C28" s="7" t="s">
        <v>39</v>
      </c>
      <c r="D28" s="67">
        <v>676.54899999999998</v>
      </c>
      <c r="E28" s="66">
        <v>1050</v>
      </c>
      <c r="F28" s="30"/>
      <c r="G28" s="41">
        <v>348.2</v>
      </c>
      <c r="H28" s="41">
        <v>266.5</v>
      </c>
      <c r="I28" s="31"/>
      <c r="J28" s="45">
        <v>266.2</v>
      </c>
      <c r="K28" s="45">
        <v>350</v>
      </c>
      <c r="L28" s="45"/>
      <c r="M28" s="67">
        <v>300</v>
      </c>
      <c r="N28" s="123">
        <v>300</v>
      </c>
      <c r="O28" s="31"/>
      <c r="P28" s="30">
        <v>119.7</v>
      </c>
      <c r="Q28" s="32">
        <v>150</v>
      </c>
      <c r="R28" s="31"/>
      <c r="S28" s="30">
        <v>162.6</v>
      </c>
      <c r="T28" s="32">
        <v>320</v>
      </c>
      <c r="U28" s="31"/>
      <c r="V28" s="30">
        <v>346</v>
      </c>
      <c r="W28" s="32">
        <v>330.51</v>
      </c>
      <c r="X28" s="31"/>
      <c r="Y28" s="31">
        <v>199.5</v>
      </c>
      <c r="Z28" s="31">
        <v>200</v>
      </c>
      <c r="AA28" s="32"/>
      <c r="AB28" s="30">
        <f t="shared" si="1"/>
        <v>2418.7489999999998</v>
      </c>
      <c r="AC28" s="30">
        <f t="shared" si="1"/>
        <v>2967.01</v>
      </c>
      <c r="AD28" s="30">
        <f t="shared" si="1"/>
        <v>0</v>
      </c>
    </row>
    <row r="29" spans="2:30" s="5" customFormat="1" ht="20.100000000000001" customHeight="1">
      <c r="B29" s="28">
        <v>4264</v>
      </c>
      <c r="C29" s="7" t="s">
        <v>40</v>
      </c>
      <c r="D29" s="67">
        <v>1785.547</v>
      </c>
      <c r="E29" s="124">
        <v>2000</v>
      </c>
      <c r="F29" s="30"/>
      <c r="G29" s="41">
        <v>2262.6999999999998</v>
      </c>
      <c r="H29" s="41">
        <v>2394</v>
      </c>
      <c r="I29" s="31"/>
      <c r="J29" s="45">
        <v>783</v>
      </c>
      <c r="K29" s="45">
        <v>900</v>
      </c>
      <c r="L29" s="45"/>
      <c r="M29" s="67">
        <v>977.7</v>
      </c>
      <c r="N29" s="123">
        <v>980</v>
      </c>
      <c r="O29" s="31"/>
      <c r="P29" s="30"/>
      <c r="Q29" s="31"/>
      <c r="R29" s="31"/>
      <c r="S29" s="30">
        <v>520</v>
      </c>
      <c r="T29" s="31">
        <v>700</v>
      </c>
      <c r="U29" s="31"/>
      <c r="V29" s="30">
        <v>851</v>
      </c>
      <c r="W29" s="31">
        <v>1090.0070000000001</v>
      </c>
      <c r="X29" s="31"/>
      <c r="Y29" s="31">
        <v>433.3</v>
      </c>
      <c r="Z29" s="31">
        <v>600</v>
      </c>
      <c r="AA29" s="31"/>
      <c r="AB29" s="30">
        <f t="shared" si="1"/>
        <v>7613.2469999999994</v>
      </c>
      <c r="AC29" s="30">
        <f t="shared" si="1"/>
        <v>8664.0069999999996</v>
      </c>
      <c r="AD29" s="30">
        <f t="shared" si="1"/>
        <v>0</v>
      </c>
    </row>
    <row r="30" spans="2:30" s="5" customFormat="1" ht="20.100000000000001" customHeight="1">
      <c r="B30" s="28">
        <v>4267</v>
      </c>
      <c r="C30" s="7" t="s">
        <v>41</v>
      </c>
      <c r="D30" s="67">
        <v>456.75</v>
      </c>
      <c r="E30" s="124">
        <v>626.20000000000005</v>
      </c>
      <c r="F30" s="30"/>
      <c r="G30" s="41">
        <v>527.4</v>
      </c>
      <c r="H30" s="41">
        <v>140</v>
      </c>
      <c r="I30" s="31"/>
      <c r="J30" s="45">
        <v>240.4</v>
      </c>
      <c r="K30" s="45">
        <v>400</v>
      </c>
      <c r="L30" s="45"/>
      <c r="M30" s="67">
        <v>469.6</v>
      </c>
      <c r="N30" s="123">
        <v>1000</v>
      </c>
      <c r="O30" s="31"/>
      <c r="P30" s="30">
        <v>58.7</v>
      </c>
      <c r="Q30" s="31">
        <v>300</v>
      </c>
      <c r="R30" s="31"/>
      <c r="S30" s="30">
        <v>0</v>
      </c>
      <c r="T30" s="31">
        <v>50</v>
      </c>
      <c r="U30" s="31"/>
      <c r="V30" s="30">
        <v>154.68</v>
      </c>
      <c r="W30" s="31"/>
      <c r="X30" s="31"/>
      <c r="Y30" s="30">
        <v>247</v>
      </c>
      <c r="Z30" s="31">
        <v>300</v>
      </c>
      <c r="AA30" s="31"/>
      <c r="AB30" s="30">
        <f t="shared" si="1"/>
        <v>2154.5300000000002</v>
      </c>
      <c r="AC30" s="30">
        <f t="shared" si="1"/>
        <v>2816.2</v>
      </c>
      <c r="AD30" s="30">
        <f t="shared" si="1"/>
        <v>0</v>
      </c>
    </row>
    <row r="31" spans="2:30" s="5" customFormat="1" ht="20.100000000000001" customHeight="1">
      <c r="B31" s="28">
        <v>4269</v>
      </c>
      <c r="C31" s="7" t="s">
        <v>42</v>
      </c>
      <c r="D31" s="67">
        <v>2564.58</v>
      </c>
      <c r="E31" s="124">
        <v>10200</v>
      </c>
      <c r="F31" s="31"/>
      <c r="G31" s="41">
        <v>810.5</v>
      </c>
      <c r="H31" s="41">
        <v>706.6</v>
      </c>
      <c r="I31" s="31"/>
      <c r="J31" s="45">
        <v>100</v>
      </c>
      <c r="K31" s="45">
        <v>850</v>
      </c>
      <c r="L31" s="45"/>
      <c r="M31" s="67">
        <v>485.4</v>
      </c>
      <c r="N31" s="123">
        <v>700</v>
      </c>
      <c r="O31" s="31"/>
      <c r="P31" s="30">
        <v>372.3</v>
      </c>
      <c r="Q31" s="31">
        <v>300</v>
      </c>
      <c r="R31" s="31"/>
      <c r="S31" s="30">
        <v>52.2</v>
      </c>
      <c r="T31" s="31">
        <v>100</v>
      </c>
      <c r="U31" s="31"/>
      <c r="V31" s="30">
        <v>995.16</v>
      </c>
      <c r="W31" s="31">
        <v>280.25299999999999</v>
      </c>
      <c r="X31" s="31"/>
      <c r="Y31" s="30">
        <v>1168.4000000000001</v>
      </c>
      <c r="Z31" s="31">
        <v>2200</v>
      </c>
      <c r="AA31" s="31"/>
      <c r="AB31" s="30">
        <f t="shared" si="1"/>
        <v>6548.5399999999991</v>
      </c>
      <c r="AC31" s="30">
        <f t="shared" si="1"/>
        <v>15336.853000000001</v>
      </c>
      <c r="AD31" s="30">
        <f t="shared" si="1"/>
        <v>0</v>
      </c>
    </row>
    <row r="32" spans="2:30" s="5" customFormat="1" ht="33" customHeight="1">
      <c r="B32" s="28">
        <v>4511</v>
      </c>
      <c r="C32" s="7" t="s">
        <v>43</v>
      </c>
      <c r="D32" s="67">
        <v>106665.7</v>
      </c>
      <c r="E32" s="67">
        <v>132277.75</v>
      </c>
      <c r="F32" s="30"/>
      <c r="G32" s="41">
        <v>35820.1</v>
      </c>
      <c r="H32" s="41">
        <v>52000</v>
      </c>
      <c r="I32" s="31"/>
      <c r="J32" s="45">
        <v>20400.400000000001</v>
      </c>
      <c r="K32" s="45">
        <v>33000</v>
      </c>
      <c r="L32" s="45"/>
      <c r="M32" s="67">
        <v>2000</v>
      </c>
      <c r="N32" s="123">
        <v>21000</v>
      </c>
      <c r="O32" s="31"/>
      <c r="P32" s="31">
        <v>17200</v>
      </c>
      <c r="Q32" s="31">
        <v>24000</v>
      </c>
      <c r="R32" s="31"/>
      <c r="S32" s="31">
        <v>13305</v>
      </c>
      <c r="T32" s="31">
        <v>24500</v>
      </c>
      <c r="U32" s="31"/>
      <c r="V32" s="31">
        <v>9080.6290000000008</v>
      </c>
      <c r="W32" s="31">
        <v>15000</v>
      </c>
      <c r="X32" s="31"/>
      <c r="Y32" s="31"/>
      <c r="Z32" s="31"/>
      <c r="AA32" s="31"/>
      <c r="AB32" s="30">
        <f t="shared" si="1"/>
        <v>204471.82899999997</v>
      </c>
      <c r="AC32" s="30">
        <f t="shared" si="1"/>
        <v>301777.75</v>
      </c>
      <c r="AD32" s="30">
        <f t="shared" si="1"/>
        <v>0</v>
      </c>
    </row>
    <row r="33" spans="2:30" s="5" customFormat="1" ht="33" customHeight="1">
      <c r="B33" s="28">
        <v>4521</v>
      </c>
      <c r="C33" s="7" t="s">
        <v>104</v>
      </c>
      <c r="D33" s="67"/>
      <c r="E33" s="67"/>
      <c r="F33" s="30"/>
      <c r="G33" s="41"/>
      <c r="H33" s="41">
        <v>0</v>
      </c>
      <c r="I33" s="31"/>
      <c r="J33" s="45">
        <v>150</v>
      </c>
      <c r="K33" s="45">
        <v>200</v>
      </c>
      <c r="L33" s="45"/>
      <c r="M33" s="30"/>
      <c r="N33" s="31"/>
      <c r="O33" s="31"/>
      <c r="P33" s="31"/>
      <c r="Q33" s="31"/>
      <c r="R33" s="31"/>
      <c r="S33" s="31">
        <v>0</v>
      </c>
      <c r="T33" s="31">
        <v>0</v>
      </c>
      <c r="U33" s="31"/>
      <c r="V33" s="31"/>
      <c r="W33" s="31"/>
      <c r="X33" s="31"/>
      <c r="Y33" s="31"/>
      <c r="Z33" s="31"/>
      <c r="AA33" s="31"/>
      <c r="AB33" s="30">
        <f t="shared" si="1"/>
        <v>150</v>
      </c>
      <c r="AC33" s="30">
        <f t="shared" si="1"/>
        <v>200</v>
      </c>
      <c r="AD33" s="30">
        <f t="shared" si="1"/>
        <v>0</v>
      </c>
    </row>
    <row r="34" spans="2:30" s="5" customFormat="1" ht="34.5" customHeight="1">
      <c r="B34" s="28">
        <v>4637</v>
      </c>
      <c r="C34" s="7" t="s">
        <v>44</v>
      </c>
      <c r="D34" s="67">
        <v>12668.6</v>
      </c>
      <c r="E34" s="66">
        <v>6822.25</v>
      </c>
      <c r="F34" s="32"/>
      <c r="G34" s="30"/>
      <c r="H34" s="66">
        <v>0</v>
      </c>
      <c r="I34" s="32"/>
      <c r="J34" s="30"/>
      <c r="K34" s="32"/>
      <c r="L34" s="32"/>
      <c r="M34" s="30"/>
      <c r="N34" s="32"/>
      <c r="O34" s="32"/>
      <c r="P34" s="30"/>
      <c r="Q34" s="32"/>
      <c r="R34" s="32"/>
      <c r="S34" s="30">
        <v>0</v>
      </c>
      <c r="T34" s="32">
        <v>0</v>
      </c>
      <c r="U34" s="32"/>
      <c r="V34" s="30"/>
      <c r="W34" s="32"/>
      <c r="X34" s="32"/>
      <c r="Y34" s="30"/>
      <c r="Z34" s="31"/>
      <c r="AA34" s="32"/>
      <c r="AB34" s="30">
        <f t="shared" si="1"/>
        <v>12668.6</v>
      </c>
      <c r="AC34" s="30">
        <f t="shared" si="1"/>
        <v>6822.25</v>
      </c>
      <c r="AD34" s="30">
        <f t="shared" si="1"/>
        <v>0</v>
      </c>
    </row>
    <row r="35" spans="2:30" s="5" customFormat="1" ht="34.5" customHeight="1">
      <c r="B35" s="28">
        <v>4657</v>
      </c>
      <c r="C35" s="7" t="s">
        <v>82</v>
      </c>
      <c r="D35" s="67">
        <v>3676.1320000000001</v>
      </c>
      <c r="E35" s="66">
        <v>0</v>
      </c>
      <c r="F35" s="32"/>
      <c r="G35" s="30"/>
      <c r="H35" s="66">
        <v>0</v>
      </c>
      <c r="I35" s="32"/>
      <c r="J35" s="30"/>
      <c r="K35" s="32"/>
      <c r="L35" s="32"/>
      <c r="M35" s="30"/>
      <c r="N35" s="32"/>
      <c r="O35" s="32"/>
      <c r="P35" s="30"/>
      <c r="Q35" s="32"/>
      <c r="R35" s="32"/>
      <c r="S35" s="30">
        <v>3000</v>
      </c>
      <c r="T35" s="32">
        <v>824</v>
      </c>
      <c r="U35" s="32"/>
      <c r="V35" s="30">
        <v>1280.25</v>
      </c>
      <c r="W35" s="32"/>
      <c r="X35" s="32"/>
      <c r="Y35" s="30"/>
      <c r="Z35" s="31"/>
      <c r="AA35" s="32"/>
      <c r="AB35" s="30">
        <f t="shared" si="1"/>
        <v>7956.3819999999996</v>
      </c>
      <c r="AC35" s="30">
        <f t="shared" si="1"/>
        <v>824</v>
      </c>
      <c r="AD35" s="30">
        <f t="shared" si="1"/>
        <v>0</v>
      </c>
    </row>
    <row r="36" spans="2:30" s="5" customFormat="1" ht="20.100000000000001" customHeight="1">
      <c r="B36" s="28">
        <v>4729</v>
      </c>
      <c r="C36" s="7" t="s">
        <v>45</v>
      </c>
      <c r="D36" s="67">
        <v>3945.2</v>
      </c>
      <c r="E36" s="124">
        <v>6000</v>
      </c>
      <c r="F36" s="30"/>
      <c r="G36" s="41">
        <v>6470</v>
      </c>
      <c r="H36" s="41">
        <v>5860</v>
      </c>
      <c r="I36" s="31"/>
      <c r="J36" s="45">
        <v>5113.7</v>
      </c>
      <c r="K36" s="45">
        <v>5500</v>
      </c>
      <c r="L36" s="45"/>
      <c r="M36" s="67">
        <v>2880</v>
      </c>
      <c r="N36" s="123">
        <v>3000</v>
      </c>
      <c r="O36" s="31"/>
      <c r="P36" s="30">
        <v>335</v>
      </c>
      <c r="Q36" s="31">
        <v>500</v>
      </c>
      <c r="R36" s="31"/>
      <c r="S36" s="30">
        <v>3840</v>
      </c>
      <c r="T36" s="31">
        <v>7040</v>
      </c>
      <c r="U36" s="31"/>
      <c r="V36" s="30">
        <v>1520</v>
      </c>
      <c r="W36" s="31">
        <v>990</v>
      </c>
      <c r="X36" s="31"/>
      <c r="Y36" s="30">
        <v>1130</v>
      </c>
      <c r="Z36" s="31">
        <v>2000</v>
      </c>
      <c r="AA36" s="31"/>
      <c r="AB36" s="30">
        <f t="shared" si="1"/>
        <v>25233.9</v>
      </c>
      <c r="AC36" s="30">
        <f t="shared" si="1"/>
        <v>30890</v>
      </c>
      <c r="AD36" s="30">
        <f t="shared" si="1"/>
        <v>0</v>
      </c>
    </row>
    <row r="37" spans="2:30" s="5" customFormat="1" ht="32.25" customHeight="1">
      <c r="B37" s="28">
        <v>4819</v>
      </c>
      <c r="C37" s="7" t="s">
        <v>46</v>
      </c>
      <c r="D37" s="67">
        <v>100.12</v>
      </c>
      <c r="E37" s="124">
        <v>500</v>
      </c>
      <c r="F37" s="31"/>
      <c r="G37" s="41">
        <v>60</v>
      </c>
      <c r="H37" s="41">
        <v>60</v>
      </c>
      <c r="I37" s="31"/>
      <c r="J37" s="45">
        <v>0</v>
      </c>
      <c r="K37" s="45">
        <v>150</v>
      </c>
      <c r="L37" s="45"/>
      <c r="M37" s="30"/>
      <c r="N37" s="31"/>
      <c r="O37" s="31"/>
      <c r="P37" s="30">
        <v>0</v>
      </c>
      <c r="Q37" s="31">
        <v>100</v>
      </c>
      <c r="R37" s="31"/>
      <c r="S37" s="30">
        <v>0</v>
      </c>
      <c r="T37" s="31">
        <v>60</v>
      </c>
      <c r="U37" s="31"/>
      <c r="V37" s="30"/>
      <c r="W37" s="31"/>
      <c r="X37" s="31"/>
      <c r="Y37" s="30"/>
      <c r="Z37" s="31">
        <v>200</v>
      </c>
      <c r="AA37" s="31"/>
      <c r="AB37" s="30">
        <f t="shared" si="1"/>
        <v>160.12</v>
      </c>
      <c r="AC37" s="30">
        <f t="shared" si="1"/>
        <v>1070</v>
      </c>
      <c r="AD37" s="30">
        <f t="shared" si="1"/>
        <v>0</v>
      </c>
    </row>
    <row r="38" spans="2:30" s="5" customFormat="1" ht="20.100000000000001" customHeight="1">
      <c r="B38" s="28">
        <v>4823</v>
      </c>
      <c r="C38" s="7" t="s">
        <v>47</v>
      </c>
      <c r="D38" s="67">
        <v>129.80000000000001</v>
      </c>
      <c r="E38" s="66">
        <v>543</v>
      </c>
      <c r="F38" s="32"/>
      <c r="G38" s="41">
        <v>130</v>
      </c>
      <c r="H38" s="41">
        <v>83.8</v>
      </c>
      <c r="I38" s="32"/>
      <c r="J38" s="30">
        <v>52</v>
      </c>
      <c r="K38" s="32">
        <v>100</v>
      </c>
      <c r="L38" s="32"/>
      <c r="M38" s="30"/>
      <c r="N38" s="32"/>
      <c r="O38" s="32"/>
      <c r="P38" s="30">
        <v>64</v>
      </c>
      <c r="Q38" s="32">
        <v>210</v>
      </c>
      <c r="R38" s="32"/>
      <c r="S38" s="30">
        <v>0</v>
      </c>
      <c r="T38" s="32">
        <v>0</v>
      </c>
      <c r="U38" s="32"/>
      <c r="V38" s="30">
        <v>234</v>
      </c>
      <c r="W38" s="32">
        <v>197</v>
      </c>
      <c r="X38" s="32"/>
      <c r="Y38" s="30">
        <v>26</v>
      </c>
      <c r="Z38" s="31">
        <v>150</v>
      </c>
      <c r="AA38" s="32"/>
      <c r="AB38" s="30">
        <f t="shared" si="1"/>
        <v>635.79999999999995</v>
      </c>
      <c r="AC38" s="30">
        <f t="shared" si="1"/>
        <v>1283.8</v>
      </c>
      <c r="AD38" s="30">
        <f t="shared" si="1"/>
        <v>0</v>
      </c>
    </row>
    <row r="39" spans="2:30" s="5" customFormat="1" ht="30.75" customHeight="1">
      <c r="B39" s="42">
        <v>4824</v>
      </c>
      <c r="C39" s="43" t="s">
        <v>101</v>
      </c>
      <c r="D39" s="67"/>
      <c r="E39" s="66"/>
      <c r="F39" s="32"/>
      <c r="G39" s="41"/>
      <c r="H39" s="41"/>
      <c r="I39" s="32"/>
      <c r="J39" s="45">
        <v>0</v>
      </c>
      <c r="K39" s="45">
        <v>50</v>
      </c>
      <c r="L39" s="45"/>
      <c r="M39" s="30"/>
      <c r="N39" s="32"/>
      <c r="O39" s="32"/>
      <c r="P39" s="30"/>
      <c r="Q39" s="32"/>
      <c r="R39" s="32"/>
      <c r="S39" s="30">
        <v>0</v>
      </c>
      <c r="T39" s="32">
        <v>0</v>
      </c>
      <c r="U39" s="32"/>
      <c r="V39" s="30"/>
      <c r="W39" s="32"/>
      <c r="X39" s="32"/>
      <c r="Y39" s="30"/>
      <c r="Z39" s="31">
        <v>100</v>
      </c>
      <c r="AA39" s="32"/>
      <c r="AB39" s="30">
        <f t="shared" si="1"/>
        <v>0</v>
      </c>
      <c r="AC39" s="30">
        <f t="shared" si="1"/>
        <v>150</v>
      </c>
      <c r="AD39" s="30">
        <f t="shared" si="1"/>
        <v>0</v>
      </c>
    </row>
    <row r="40" spans="2:30" s="5" customFormat="1" ht="30.75" customHeight="1">
      <c r="B40" s="42">
        <v>4841</v>
      </c>
      <c r="C40" s="43" t="s">
        <v>105</v>
      </c>
      <c r="D40" s="67"/>
      <c r="E40" s="66"/>
      <c r="F40" s="32"/>
      <c r="G40" s="41"/>
      <c r="H40" s="41"/>
      <c r="I40" s="32"/>
      <c r="J40" s="45">
        <v>0</v>
      </c>
      <c r="K40" s="45">
        <v>1500</v>
      </c>
      <c r="L40" s="45"/>
      <c r="M40" s="30"/>
      <c r="N40" s="32"/>
      <c r="O40" s="32"/>
      <c r="P40" s="30"/>
      <c r="Q40" s="32"/>
      <c r="R40" s="32"/>
      <c r="S40" s="30">
        <v>0</v>
      </c>
      <c r="T40" s="32">
        <v>0</v>
      </c>
      <c r="U40" s="32"/>
      <c r="V40" s="30"/>
      <c r="W40" s="32"/>
      <c r="X40" s="32"/>
      <c r="Y40" s="30"/>
      <c r="Z40" s="31"/>
      <c r="AA40" s="32"/>
      <c r="AB40" s="30">
        <f t="shared" si="1"/>
        <v>0</v>
      </c>
      <c r="AC40" s="30">
        <f t="shared" si="1"/>
        <v>1500</v>
      </c>
      <c r="AD40" s="30">
        <f t="shared" si="1"/>
        <v>0</v>
      </c>
    </row>
    <row r="41" spans="2:30" s="5" customFormat="1" ht="20.100000000000001" customHeight="1">
      <c r="B41" s="28">
        <v>4891</v>
      </c>
      <c r="C41" s="7" t="s">
        <v>48</v>
      </c>
      <c r="D41" s="67">
        <v>0</v>
      </c>
      <c r="E41" s="124">
        <v>8380</v>
      </c>
      <c r="F41" s="31"/>
      <c r="G41" s="41"/>
      <c r="H41" s="41">
        <v>0</v>
      </c>
      <c r="I41" s="31"/>
      <c r="J41" s="45">
        <v>0</v>
      </c>
      <c r="K41" s="45">
        <v>1864</v>
      </c>
      <c r="L41" s="45"/>
      <c r="M41" s="67"/>
      <c r="N41" s="123">
        <v>12656.9</v>
      </c>
      <c r="O41" s="31"/>
      <c r="P41" s="30">
        <v>0</v>
      </c>
      <c r="Q41" s="31">
        <v>7898.5</v>
      </c>
      <c r="R41" s="31"/>
      <c r="S41" s="30">
        <v>0</v>
      </c>
      <c r="T41" s="31">
        <v>0</v>
      </c>
      <c r="U41" s="31"/>
      <c r="V41" s="30"/>
      <c r="W41" s="31"/>
      <c r="X41" s="31"/>
      <c r="Y41" s="30"/>
      <c r="Z41" s="31">
        <v>890.1</v>
      </c>
      <c r="AA41" s="31"/>
      <c r="AB41" s="30">
        <f t="shared" si="1"/>
        <v>0</v>
      </c>
      <c r="AC41" s="30">
        <f t="shared" si="1"/>
        <v>31689.5</v>
      </c>
      <c r="AD41" s="30">
        <f t="shared" si="1"/>
        <v>0</v>
      </c>
    </row>
    <row r="42" spans="2:30" s="5" customFormat="1" ht="20.100000000000001" customHeight="1">
      <c r="B42" s="119"/>
      <c r="C42" s="120" t="s">
        <v>8</v>
      </c>
      <c r="D42" s="70">
        <f t="shared" ref="D42:K42" si="2">SUM(D7:D41)</f>
        <v>244655.68400000004</v>
      </c>
      <c r="E42" s="70">
        <f t="shared" si="2"/>
        <v>320000</v>
      </c>
      <c r="F42" s="121">
        <f t="shared" si="2"/>
        <v>0</v>
      </c>
      <c r="G42" s="121">
        <f t="shared" si="2"/>
        <v>85130</v>
      </c>
      <c r="H42" s="70">
        <f t="shared" si="2"/>
        <v>110274.8</v>
      </c>
      <c r="I42" s="121">
        <f t="shared" si="2"/>
        <v>3050</v>
      </c>
      <c r="J42" s="121">
        <f t="shared" si="2"/>
        <v>65865.5</v>
      </c>
      <c r="K42" s="121">
        <f t="shared" si="2"/>
        <v>96884</v>
      </c>
      <c r="L42" s="121">
        <f t="shared" ref="L42:AD42" si="3">SUM(L7:L41)</f>
        <v>5600</v>
      </c>
      <c r="M42" s="121">
        <f t="shared" si="3"/>
        <v>41826.699999999997</v>
      </c>
      <c r="N42" s="121">
        <f t="shared" si="3"/>
        <v>81981.899999999994</v>
      </c>
      <c r="O42" s="121">
        <f t="shared" si="3"/>
        <v>0</v>
      </c>
      <c r="P42" s="121">
        <f t="shared" si="3"/>
        <v>38834.899999999994</v>
      </c>
      <c r="Q42" s="121">
        <f t="shared" si="3"/>
        <v>53628.5</v>
      </c>
      <c r="R42" s="121">
        <f t="shared" si="3"/>
        <v>2510</v>
      </c>
      <c r="S42" s="121">
        <f t="shared" si="3"/>
        <v>52139.899999999994</v>
      </c>
      <c r="T42" s="121">
        <f t="shared" si="3"/>
        <v>79030.7</v>
      </c>
      <c r="U42" s="121">
        <f t="shared" si="3"/>
        <v>0</v>
      </c>
      <c r="V42" s="121">
        <f t="shared" si="3"/>
        <v>39726.305</v>
      </c>
      <c r="W42" s="121">
        <f t="shared" si="3"/>
        <v>50392.508999999998</v>
      </c>
      <c r="X42" s="121">
        <f t="shared" si="3"/>
        <v>0</v>
      </c>
      <c r="Y42" s="121">
        <f t="shared" si="3"/>
        <v>33815.900000000009</v>
      </c>
      <c r="Z42" s="121">
        <f t="shared" si="3"/>
        <v>45773.599999999999</v>
      </c>
      <c r="AA42" s="121">
        <f t="shared" si="3"/>
        <v>0</v>
      </c>
      <c r="AB42" s="121">
        <f t="shared" si="3"/>
        <v>601994.88899999997</v>
      </c>
      <c r="AC42" s="121">
        <f t="shared" si="3"/>
        <v>837966.00900000008</v>
      </c>
      <c r="AD42" s="121">
        <f t="shared" si="3"/>
        <v>11160</v>
      </c>
    </row>
    <row r="43" spans="2:30" s="5" customFormat="1" ht="20.100000000000001" customHeight="1">
      <c r="B43" s="28">
        <v>5112</v>
      </c>
      <c r="C43" s="7" t="s">
        <v>49</v>
      </c>
      <c r="D43" s="67">
        <v>31846.111000000001</v>
      </c>
      <c r="E43" s="128">
        <v>163151</v>
      </c>
      <c r="F43" s="40"/>
      <c r="G43" s="30">
        <v>6739.7</v>
      </c>
      <c r="H43" s="124">
        <v>21500.799999999999</v>
      </c>
      <c r="I43" s="31"/>
      <c r="J43" s="45">
        <v>1085.4000000000001</v>
      </c>
      <c r="K43" s="45">
        <v>71099.8</v>
      </c>
      <c r="L43" s="45"/>
      <c r="M43" s="30"/>
      <c r="N43" s="31"/>
      <c r="O43" s="31"/>
      <c r="P43" s="30">
        <v>8369</v>
      </c>
      <c r="Q43" s="31"/>
      <c r="R43" s="31"/>
      <c r="S43" s="30">
        <v>19620</v>
      </c>
      <c r="T43" s="31">
        <v>8680</v>
      </c>
      <c r="U43" s="31"/>
      <c r="V43" s="30">
        <v>2350</v>
      </c>
      <c r="W43" s="31">
        <v>2147.9949999999999</v>
      </c>
      <c r="X43" s="31"/>
      <c r="Y43" s="30"/>
      <c r="Z43" s="31">
        <f>97323.719+4000</f>
        <v>101323.719</v>
      </c>
      <c r="AA43" s="31"/>
      <c r="AB43" s="30">
        <f t="shared" si="1"/>
        <v>70010.21100000001</v>
      </c>
      <c r="AC43" s="30">
        <f>+E43+H43+K43+N43+Q43+T43+W43+Z43</f>
        <v>367903.31399999995</v>
      </c>
      <c r="AD43" s="30">
        <f t="shared" si="1"/>
        <v>0</v>
      </c>
    </row>
    <row r="44" spans="2:30" s="5" customFormat="1" ht="33.75" customHeight="1">
      <c r="B44" s="27">
        <v>5113</v>
      </c>
      <c r="C44" s="7" t="s">
        <v>50</v>
      </c>
      <c r="D44" s="67">
        <v>21043.3</v>
      </c>
      <c r="E44" s="129">
        <v>56329.599999999999</v>
      </c>
      <c r="F44" s="40"/>
      <c r="G44" s="30">
        <v>8942.1</v>
      </c>
      <c r="H44" s="124">
        <v>141530.9</v>
      </c>
      <c r="I44" s="31"/>
      <c r="J44" s="45">
        <v>0</v>
      </c>
      <c r="K44" s="45">
        <v>0</v>
      </c>
      <c r="L44" s="45"/>
      <c r="M44" s="30">
        <v>38441.1</v>
      </c>
      <c r="N44" s="31"/>
      <c r="O44" s="31"/>
      <c r="P44" s="30">
        <v>300</v>
      </c>
      <c r="Q44" s="31"/>
      <c r="R44" s="31"/>
      <c r="S44" s="30">
        <v>2280</v>
      </c>
      <c r="T44" s="31">
        <v>7700</v>
      </c>
      <c r="U44" s="31"/>
      <c r="V44" s="30">
        <v>12479.588</v>
      </c>
      <c r="W44" s="31">
        <v>16508.240000000002</v>
      </c>
      <c r="X44" s="31"/>
      <c r="Y44" s="30">
        <v>3361.1</v>
      </c>
      <c r="Z44" s="31">
        <v>2670</v>
      </c>
      <c r="AA44" s="31"/>
      <c r="AB44" s="30">
        <f t="shared" si="1"/>
        <v>86847.188000000009</v>
      </c>
      <c r="AC44" s="30">
        <f t="shared" ref="AC44:AD51" si="4">+E44+H44+K44+N44+Q44+T44+W44+Z44</f>
        <v>224738.74</v>
      </c>
      <c r="AD44" s="30">
        <f t="shared" si="1"/>
        <v>0</v>
      </c>
    </row>
    <row r="45" spans="2:30" s="5" customFormat="1" ht="16.5" customHeight="1">
      <c r="B45" s="27">
        <v>5121</v>
      </c>
      <c r="C45" s="7" t="s">
        <v>19</v>
      </c>
      <c r="D45" s="67">
        <v>0</v>
      </c>
      <c r="E45" s="130"/>
      <c r="F45" s="36"/>
      <c r="G45" s="30"/>
      <c r="H45" s="124">
        <v>0</v>
      </c>
      <c r="I45" s="31"/>
      <c r="J45" s="30"/>
      <c r="K45" s="31"/>
      <c r="L45" s="31"/>
      <c r="M45" s="30"/>
      <c r="N45" s="31"/>
      <c r="O45" s="31"/>
      <c r="P45" s="30"/>
      <c r="Q45" s="31"/>
      <c r="R45" s="31"/>
      <c r="S45" s="30">
        <v>145</v>
      </c>
      <c r="T45" s="31">
        <v>200</v>
      </c>
      <c r="U45" s="31"/>
      <c r="V45" s="30"/>
      <c r="W45" s="31"/>
      <c r="X45" s="31"/>
      <c r="Y45" s="30"/>
      <c r="Z45" s="31"/>
      <c r="AA45" s="31"/>
      <c r="AB45" s="30">
        <f t="shared" ref="AB45:AB51" si="5">+D45+G45+J45+M45+P45+S45+V45+Y45</f>
        <v>145</v>
      </c>
      <c r="AC45" s="30">
        <f t="shared" si="4"/>
        <v>200</v>
      </c>
      <c r="AD45" s="30">
        <f t="shared" si="4"/>
        <v>0</v>
      </c>
    </row>
    <row r="46" spans="2:30" s="5" customFormat="1" ht="17.25" customHeight="1">
      <c r="B46" s="27">
        <v>5122</v>
      </c>
      <c r="C46" s="7" t="s">
        <v>51</v>
      </c>
      <c r="D46" s="67">
        <v>1471.22</v>
      </c>
      <c r="E46" s="130">
        <v>6500</v>
      </c>
      <c r="F46" s="40"/>
      <c r="G46" s="30">
        <v>741</v>
      </c>
      <c r="H46" s="124">
        <v>3364.6</v>
      </c>
      <c r="I46" s="31"/>
      <c r="J46" s="45">
        <v>2409.5</v>
      </c>
      <c r="K46" s="31">
        <v>5811</v>
      </c>
      <c r="L46" s="45"/>
      <c r="M46" s="30">
        <v>334.2</v>
      </c>
      <c r="N46" s="31"/>
      <c r="O46" s="31"/>
      <c r="P46" s="30">
        <v>145</v>
      </c>
      <c r="Q46" s="31"/>
      <c r="R46" s="31"/>
      <c r="S46" s="30">
        <v>188.9</v>
      </c>
      <c r="T46" s="31">
        <v>4080</v>
      </c>
      <c r="U46" s="31"/>
      <c r="V46" s="30">
        <v>2752.81</v>
      </c>
      <c r="W46" s="31">
        <v>6088.241</v>
      </c>
      <c r="X46" s="31"/>
      <c r="Y46" s="30"/>
      <c r="Z46" s="31">
        <v>399.99799999999999</v>
      </c>
      <c r="AA46" s="31"/>
      <c r="AB46" s="30">
        <f t="shared" si="5"/>
        <v>8042.6299999999992</v>
      </c>
      <c r="AC46" s="30">
        <f t="shared" si="4"/>
        <v>26243.839</v>
      </c>
      <c r="AD46" s="30">
        <f t="shared" si="4"/>
        <v>0</v>
      </c>
    </row>
    <row r="47" spans="2:30" s="5" customFormat="1" ht="17.25" customHeight="1">
      <c r="B47" s="27">
        <v>5129</v>
      </c>
      <c r="C47" s="7" t="s">
        <v>120</v>
      </c>
      <c r="D47" s="67"/>
      <c r="E47" s="130"/>
      <c r="F47" s="40"/>
      <c r="G47" s="30">
        <v>1299</v>
      </c>
      <c r="H47" s="124">
        <v>0</v>
      </c>
      <c r="I47" s="31"/>
      <c r="J47" s="45"/>
      <c r="K47" s="45"/>
      <c r="L47" s="45"/>
      <c r="M47" s="30"/>
      <c r="N47" s="31"/>
      <c r="O47" s="31"/>
      <c r="P47" s="30"/>
      <c r="Q47" s="31"/>
      <c r="R47" s="31"/>
      <c r="S47" s="30">
        <v>151</v>
      </c>
      <c r="T47" s="31">
        <v>800</v>
      </c>
      <c r="U47" s="31"/>
      <c r="V47" s="30"/>
      <c r="W47" s="31"/>
      <c r="X47" s="31"/>
      <c r="Y47" s="30"/>
      <c r="Z47" s="31"/>
      <c r="AA47" s="31"/>
      <c r="AB47" s="30">
        <f t="shared" si="5"/>
        <v>1450</v>
      </c>
      <c r="AC47" s="30">
        <f t="shared" si="4"/>
        <v>800</v>
      </c>
      <c r="AD47" s="30">
        <f t="shared" si="4"/>
        <v>0</v>
      </c>
    </row>
    <row r="48" spans="2:30" s="5" customFormat="1" ht="17.25" customHeight="1">
      <c r="B48" s="27">
        <v>5131</v>
      </c>
      <c r="C48" s="7" t="s">
        <v>122</v>
      </c>
      <c r="D48" s="67"/>
      <c r="E48" s="130"/>
      <c r="F48" s="40"/>
      <c r="G48" s="30"/>
      <c r="H48" s="124"/>
      <c r="I48" s="31"/>
      <c r="J48" s="45"/>
      <c r="K48" s="45"/>
      <c r="L48" s="45"/>
      <c r="M48" s="30">
        <v>599.5</v>
      </c>
      <c r="N48" s="31"/>
      <c r="O48" s="31"/>
      <c r="P48" s="30"/>
      <c r="Q48" s="31"/>
      <c r="R48" s="31"/>
      <c r="S48" s="30"/>
      <c r="T48" s="31"/>
      <c r="U48" s="31"/>
      <c r="V48" s="30"/>
      <c r="W48" s="31"/>
      <c r="X48" s="31"/>
      <c r="Y48" s="30"/>
      <c r="Z48" s="31"/>
      <c r="AA48" s="31"/>
      <c r="AB48" s="30">
        <f t="shared" si="5"/>
        <v>599.5</v>
      </c>
      <c r="AC48" s="30">
        <f t="shared" si="4"/>
        <v>0</v>
      </c>
      <c r="AD48" s="30">
        <f t="shared" si="4"/>
        <v>0</v>
      </c>
    </row>
    <row r="49" spans="1:30" s="5" customFormat="1" ht="17.25" customHeight="1">
      <c r="B49" s="27">
        <v>5132</v>
      </c>
      <c r="C49" s="7" t="s">
        <v>121</v>
      </c>
      <c r="D49" s="67"/>
      <c r="E49" s="130"/>
      <c r="F49" s="40"/>
      <c r="G49" s="30"/>
      <c r="H49" s="124">
        <v>300</v>
      </c>
      <c r="I49" s="31"/>
      <c r="J49" s="45"/>
      <c r="K49" s="45"/>
      <c r="L49" s="45"/>
      <c r="M49" s="30"/>
      <c r="N49" s="31"/>
      <c r="O49" s="31"/>
      <c r="P49" s="30"/>
      <c r="Q49" s="31"/>
      <c r="R49" s="31"/>
      <c r="S49" s="30"/>
      <c r="T49" s="31"/>
      <c r="U49" s="31"/>
      <c r="V49" s="30"/>
      <c r="W49" s="31"/>
      <c r="X49" s="31"/>
      <c r="Y49" s="30"/>
      <c r="Z49" s="31"/>
      <c r="AA49" s="31"/>
      <c r="AB49" s="30">
        <f t="shared" si="5"/>
        <v>0</v>
      </c>
      <c r="AC49" s="30">
        <f t="shared" si="4"/>
        <v>300</v>
      </c>
      <c r="AD49" s="30">
        <f t="shared" si="4"/>
        <v>0</v>
      </c>
    </row>
    <row r="50" spans="1:30" s="5" customFormat="1" ht="17.25" customHeight="1">
      <c r="B50" s="27">
        <v>5134</v>
      </c>
      <c r="C50" s="7" t="s">
        <v>83</v>
      </c>
      <c r="D50" s="67">
        <v>300</v>
      </c>
      <c r="E50" s="130">
        <v>6000</v>
      </c>
      <c r="F50" s="40"/>
      <c r="G50" s="30">
        <v>1200</v>
      </c>
      <c r="H50" s="124">
        <v>4483</v>
      </c>
      <c r="I50" s="31"/>
      <c r="J50" s="45">
        <v>985</v>
      </c>
      <c r="K50" s="45">
        <v>2787.5</v>
      </c>
      <c r="L50" s="45"/>
      <c r="M50" s="30">
        <v>460</v>
      </c>
      <c r="N50" s="31"/>
      <c r="O50" s="31"/>
      <c r="P50" s="30">
        <v>365</v>
      </c>
      <c r="Q50" s="31"/>
      <c r="R50" s="31"/>
      <c r="S50" s="30">
        <v>880</v>
      </c>
      <c r="T50" s="31">
        <v>900</v>
      </c>
      <c r="U50" s="31"/>
      <c r="V50" s="30">
        <v>833.67</v>
      </c>
      <c r="W50" s="31">
        <v>1774.4</v>
      </c>
      <c r="X50" s="31"/>
      <c r="Y50" s="30"/>
      <c r="Z50" s="31">
        <v>5140.6000000000004</v>
      </c>
      <c r="AA50" s="31"/>
      <c r="AB50" s="30">
        <f t="shared" si="5"/>
        <v>5023.67</v>
      </c>
      <c r="AC50" s="30">
        <f t="shared" si="4"/>
        <v>21085.5</v>
      </c>
      <c r="AD50" s="30">
        <f t="shared" si="4"/>
        <v>0</v>
      </c>
    </row>
    <row r="51" spans="1:30" s="5" customFormat="1" ht="17.25" customHeight="1">
      <c r="B51" s="27">
        <v>5221</v>
      </c>
      <c r="C51" s="7" t="s">
        <v>123</v>
      </c>
      <c r="D51" s="67"/>
      <c r="E51" s="130"/>
      <c r="F51" s="40"/>
      <c r="G51" s="30"/>
      <c r="H51" s="124"/>
      <c r="I51" s="31"/>
      <c r="J51" s="45"/>
      <c r="K51" s="45"/>
      <c r="L51" s="45"/>
      <c r="M51" s="30"/>
      <c r="N51" s="31"/>
      <c r="O51" s="31"/>
      <c r="P51" s="30"/>
      <c r="Q51" s="31"/>
      <c r="R51" s="31"/>
      <c r="S51" s="30"/>
      <c r="T51" s="31"/>
      <c r="U51" s="31"/>
      <c r="V51" s="30"/>
      <c r="W51" s="31">
        <v>980</v>
      </c>
      <c r="X51" s="31"/>
      <c r="Y51" s="30">
        <v>3860</v>
      </c>
      <c r="Z51" s="31"/>
      <c r="AA51" s="31"/>
      <c r="AB51" s="30">
        <f t="shared" si="5"/>
        <v>3860</v>
      </c>
      <c r="AC51" s="30">
        <f t="shared" si="4"/>
        <v>980</v>
      </c>
      <c r="AD51" s="30">
        <f t="shared" si="4"/>
        <v>0</v>
      </c>
    </row>
    <row r="52" spans="1:30" s="5" customFormat="1" ht="20.100000000000001" customHeight="1">
      <c r="B52" s="119"/>
      <c r="C52" s="120" t="s">
        <v>21</v>
      </c>
      <c r="D52" s="70">
        <f t="shared" ref="D52:K52" si="6">+D42+D43+D44+D45+D46+D47+D49+D50</f>
        <v>299316.315</v>
      </c>
      <c r="E52" s="70">
        <f t="shared" si="6"/>
        <v>551980.6</v>
      </c>
      <c r="F52" s="121">
        <f t="shared" si="6"/>
        <v>0</v>
      </c>
      <c r="G52" s="121">
        <f t="shared" si="6"/>
        <v>104051.8</v>
      </c>
      <c r="H52" s="70">
        <f t="shared" si="6"/>
        <v>281454.09999999998</v>
      </c>
      <c r="I52" s="121">
        <f t="shared" si="6"/>
        <v>3050</v>
      </c>
      <c r="J52" s="121">
        <f t="shared" si="6"/>
        <v>70345.399999999994</v>
      </c>
      <c r="K52" s="121">
        <f t="shared" si="6"/>
        <v>176582.3</v>
      </c>
      <c r="L52" s="121">
        <f>SUM(L7:L46)</f>
        <v>11200</v>
      </c>
      <c r="M52" s="121">
        <f>+M42+M43+M44+M45+M46+M47+M48+M49+M50</f>
        <v>81661.499999999985</v>
      </c>
      <c r="N52" s="121">
        <f>+N42+N43+N44+N45+N46+N47+N48+N49+N50</f>
        <v>81981.899999999994</v>
      </c>
      <c r="O52" s="121">
        <f>SUM(O7:O46)</f>
        <v>0</v>
      </c>
      <c r="P52" s="121">
        <f>+P42+P43+P44+P45+P46+P47+P48+P49+P50</f>
        <v>48013.899999999994</v>
      </c>
      <c r="Q52" s="121">
        <f>+Q42+Q43+Q44+Q45+Q46+Q47+Q48+Q49+Q50</f>
        <v>53628.5</v>
      </c>
      <c r="R52" s="121">
        <f t="shared" ref="R52:AA52" si="7">+R42+R43+R44+R45+R46+R47+R48+R49+R50+R51</f>
        <v>2510</v>
      </c>
      <c r="S52" s="121">
        <f t="shared" si="7"/>
        <v>75404.799999999988</v>
      </c>
      <c r="T52" s="121">
        <f t="shared" si="7"/>
        <v>101390.7</v>
      </c>
      <c r="U52" s="121">
        <f t="shared" si="7"/>
        <v>0</v>
      </c>
      <c r="V52" s="121">
        <f t="shared" si="7"/>
        <v>58142.372999999992</v>
      </c>
      <c r="W52" s="121">
        <f t="shared" si="7"/>
        <v>77891.384999999995</v>
      </c>
      <c r="X52" s="121">
        <f t="shared" si="7"/>
        <v>0</v>
      </c>
      <c r="Y52" s="121">
        <f t="shared" si="7"/>
        <v>41037.000000000007</v>
      </c>
      <c r="Z52" s="121">
        <f t="shared" si="7"/>
        <v>155307.91699999999</v>
      </c>
      <c r="AA52" s="121">
        <f t="shared" si="7"/>
        <v>0</v>
      </c>
      <c r="AB52" s="121">
        <f>SUM(AB7:AB50)</f>
        <v>1376107.977</v>
      </c>
      <c r="AC52" s="121">
        <f>SUM(AC7:AC50)</f>
        <v>2317203.4110000003</v>
      </c>
      <c r="AD52" s="121">
        <f>SUM(AD7:AD46)</f>
        <v>22320</v>
      </c>
    </row>
    <row r="53" spans="1:30" ht="13.5">
      <c r="A53" s="4"/>
      <c r="B53" s="8"/>
      <c r="C53" s="8"/>
      <c r="D53" s="125"/>
      <c r="E53" s="125"/>
      <c r="F53" s="49"/>
      <c r="G53" s="49"/>
      <c r="H53" s="125">
        <f>+H52-281457.1</f>
        <v>-3</v>
      </c>
      <c r="I53" s="49"/>
      <c r="J53" s="49"/>
      <c r="K53" s="49">
        <f>176582.3-166828.6</f>
        <v>9753.6999999999825</v>
      </c>
      <c r="L53" s="49"/>
      <c r="M53" s="143"/>
      <c r="P53" s="139">
        <f>+P52-48009</f>
        <v>4.8999999999941792</v>
      </c>
      <c r="W53" s="139">
        <f>+W52-3127.4</f>
        <v>74763.985000000001</v>
      </c>
    </row>
    <row r="54" spans="1:30" ht="13.5">
      <c r="A54" s="4"/>
      <c r="B54" s="8"/>
      <c r="C54" s="16"/>
      <c r="D54" s="270"/>
      <c r="E54" s="270"/>
      <c r="F54" s="270"/>
      <c r="G54" s="270"/>
      <c r="M54" s="143"/>
    </row>
    <row r="55" spans="1:30" ht="13.5">
      <c r="B55" s="6"/>
      <c r="C55" s="6"/>
      <c r="D55" s="126"/>
      <c r="E55" s="126"/>
      <c r="F55" s="46"/>
      <c r="G55" s="46"/>
    </row>
    <row r="56" spans="1:30" ht="13.5">
      <c r="B56" s="6"/>
      <c r="C56" s="6"/>
      <c r="D56" s="131"/>
      <c r="E56" s="126"/>
      <c r="F56" s="46"/>
      <c r="G56" s="46"/>
    </row>
    <row r="57" spans="1:30" ht="13.5">
      <c r="B57" s="6"/>
      <c r="C57" s="6"/>
      <c r="D57" s="126"/>
      <c r="E57" s="126"/>
      <c r="F57" s="46"/>
      <c r="G57" s="46"/>
    </row>
    <row r="58" spans="1:30" ht="13.5">
      <c r="B58" s="6"/>
      <c r="C58" s="6"/>
      <c r="D58" s="126"/>
      <c r="E58" s="126"/>
      <c r="F58" s="46"/>
      <c r="G58" s="46"/>
    </row>
  </sheetData>
  <mergeCells count="13">
    <mergeCell ref="B3:F3"/>
    <mergeCell ref="E1:F1"/>
    <mergeCell ref="D2:F2"/>
    <mergeCell ref="D54:G54"/>
    <mergeCell ref="D5:F5"/>
    <mergeCell ref="G5:I5"/>
    <mergeCell ref="AB5:AD5"/>
    <mergeCell ref="J5:L5"/>
    <mergeCell ref="M5:O5"/>
    <mergeCell ref="P5:R5"/>
    <mergeCell ref="S5:U5"/>
    <mergeCell ref="V5:X5"/>
    <mergeCell ref="Y5:AA5"/>
  </mergeCells>
  <phoneticPr fontId="0" type="noConversion"/>
  <printOptions horizontalCentered="1"/>
  <pageMargins left="0" right="0" top="0" bottom="0" header="0" footer="0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Գ.հ.ԱՊԱՌՔ</vt:lpstr>
      <vt:lpstr>EKAMUT - 2022</vt:lpstr>
      <vt:lpstr>Ekamut-2022</vt:lpstr>
      <vt:lpstr>Եկամուտ-2025</vt:lpstr>
      <vt:lpstr>Ծախս-գործ-2025</vt:lpstr>
      <vt:lpstr>Ծախս-տնտ-2025</vt:lpstr>
      <vt:lpstr>CAXS.GORCAR- 2022</vt:lpstr>
      <vt:lpstr>CAXS.TNTESAG- 2022</vt:lpstr>
      <vt:lpstr>'CAXS.GORCAR- 2022'!Print_Area</vt:lpstr>
    </vt:vector>
  </TitlesOfParts>
  <Company>Gjuxapetaran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User</cp:lastModifiedBy>
  <cp:lastPrinted>2025-01-24T12:45:27Z</cp:lastPrinted>
  <dcterms:created xsi:type="dcterms:W3CDTF">2009-12-03T06:01:35Z</dcterms:created>
  <dcterms:modified xsi:type="dcterms:W3CDTF">2025-02-11T12:27:33Z</dcterms:modified>
</cp:coreProperties>
</file>